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bookViews>
    <workbookView xWindow="0" yWindow="1395" windowWidth="15195" windowHeight="5850" tabRatio="880" xr2:uid="{00000000-000D-0000-FFFF-FFFF00000000}"/>
  </bookViews>
  <sheets>
    <sheet name="Enero" sheetId="20" r:id="rId1"/>
    <sheet name="Febrero" sheetId="21" r:id="rId2"/>
    <sheet name="Marzo" sheetId="22" r:id="rId3"/>
    <sheet name="Abril" sheetId="23" r:id="rId4"/>
    <sheet name="Mayo" sheetId="24" r:id="rId5"/>
    <sheet name="Junio" sheetId="25" r:id="rId6"/>
    <sheet name="Julio" sheetId="26" r:id="rId7"/>
    <sheet name="Agosto" sheetId="27" r:id="rId8"/>
    <sheet name="Septiembre" sheetId="28" r:id="rId9"/>
    <sheet name="Octubre" sheetId="29" r:id="rId10"/>
    <sheet name="Noviembre" sheetId="30" r:id="rId11"/>
    <sheet name="Diciembre" sheetId="31" r:id="rId12"/>
  </sheets>
  <definedNames>
    <definedName name="_xlnm.Print_Area" localSheetId="3">Abril!$A$1:$D$67</definedName>
    <definedName name="_xlnm.Print_Area" localSheetId="7">Agosto!$A$1:$D$67</definedName>
    <definedName name="_xlnm.Print_Area" localSheetId="11">Diciembre!$A$1:$D$68</definedName>
    <definedName name="_xlnm.Print_Area" localSheetId="0">Enero!$A$1:$D$64</definedName>
    <definedName name="_xlnm.Print_Area" localSheetId="1">Febrero!$A$1:$D$67</definedName>
    <definedName name="_xlnm.Print_Area" localSheetId="6">Julio!$A$1:$D$66</definedName>
    <definedName name="_xlnm.Print_Area" localSheetId="5">Junio!$A$1:$D$67</definedName>
    <definedName name="_xlnm.Print_Area" localSheetId="2">Marzo!$A$1:$D$67</definedName>
    <definedName name="_xlnm.Print_Area" localSheetId="4">Mayo!$A$1:$D$66</definedName>
    <definedName name="_xlnm.Print_Area" localSheetId="10">Noviembre!$A$1:$D$67</definedName>
    <definedName name="_xlnm.Print_Area" localSheetId="9">Octubre!$A$1:$D$67</definedName>
    <definedName name="_xlnm.Print_Area" localSheetId="8">Septiembre!$A$1:$D$66</definedName>
  </definedNames>
  <calcPr calcId="171027" calcMode="manual"/>
</workbook>
</file>

<file path=xl/calcChain.xml><?xml version="1.0" encoding="utf-8"?>
<calcChain xmlns="http://schemas.openxmlformats.org/spreadsheetml/2006/main">
  <c r="D22" i="31" l="1"/>
  <c r="D26" i="31"/>
  <c r="C30" i="31"/>
  <c r="D33" i="31" s="1"/>
  <c r="C38" i="31"/>
  <c r="D42" i="31"/>
  <c r="C44" i="31"/>
  <c r="D50" i="31"/>
  <c r="C63" i="31"/>
  <c r="C66" i="31"/>
  <c r="D67" i="31"/>
  <c r="D52" i="31" l="1"/>
  <c r="D22" i="30"/>
  <c r="D51" i="30" s="1"/>
  <c r="D26" i="30"/>
  <c r="C30" i="30"/>
  <c r="D33" i="30"/>
  <c r="C37" i="30"/>
  <c r="D41" i="30"/>
  <c r="C43" i="30"/>
  <c r="D49" i="30"/>
  <c r="C62" i="30"/>
  <c r="D66" i="30" s="1"/>
  <c r="C65" i="30"/>
  <c r="D22" i="29" l="1"/>
  <c r="D51" i="29" s="1"/>
  <c r="D26" i="29"/>
  <c r="C30" i="29"/>
  <c r="D33" i="29"/>
  <c r="C37" i="29"/>
  <c r="D41" i="29"/>
  <c r="C43" i="29"/>
  <c r="D49" i="29" s="1"/>
  <c r="C62" i="29"/>
  <c r="D66" i="29" s="1"/>
  <c r="C65" i="29"/>
  <c r="D21" i="28" l="1"/>
  <c r="D25" i="28"/>
  <c r="C29" i="28"/>
  <c r="D32" i="28" s="1"/>
  <c r="C36" i="28"/>
  <c r="D40" i="28"/>
  <c r="C42" i="28"/>
  <c r="D48" i="28" s="1"/>
  <c r="C61" i="28"/>
  <c r="D65" i="28" s="1"/>
  <c r="C64" i="28"/>
  <c r="D50" i="28" l="1"/>
  <c r="D22" i="27"/>
  <c r="C25" i="27"/>
  <c r="D26" i="27"/>
  <c r="C30" i="27"/>
  <c r="D33" i="27" s="1"/>
  <c r="C37" i="27"/>
  <c r="D41" i="27"/>
  <c r="C43" i="27"/>
  <c r="D49" i="27" s="1"/>
  <c r="C62" i="27"/>
  <c r="D66" i="27" s="1"/>
  <c r="C65" i="27"/>
  <c r="D51" i="27" l="1"/>
  <c r="D22" i="26"/>
  <c r="D26" i="26"/>
  <c r="D50" i="26" s="1"/>
  <c r="C30" i="26"/>
  <c r="D33" i="26" s="1"/>
  <c r="C37" i="26"/>
  <c r="D41" i="26"/>
  <c r="C43" i="26"/>
  <c r="D48" i="26"/>
  <c r="C61" i="26"/>
  <c r="D65" i="26" s="1"/>
  <c r="C64" i="26"/>
  <c r="D22" i="25" l="1"/>
  <c r="D26" i="25"/>
  <c r="C30" i="25"/>
  <c r="D33" i="25"/>
  <c r="C37" i="25"/>
  <c r="D41" i="25" s="1"/>
  <c r="C43" i="25"/>
  <c r="D49" i="25"/>
  <c r="C62" i="25"/>
  <c r="C65" i="25"/>
  <c r="D66" i="25"/>
  <c r="D51" i="25" l="1"/>
  <c r="D21" i="24"/>
  <c r="D25" i="24"/>
  <c r="C29" i="24"/>
  <c r="D32" i="24" s="1"/>
  <c r="D50" i="24" s="1"/>
  <c r="C36" i="24"/>
  <c r="D40" i="24"/>
  <c r="C42" i="24"/>
  <c r="D48" i="24" s="1"/>
  <c r="C61" i="24"/>
  <c r="D65" i="24" s="1"/>
  <c r="C64" i="24"/>
  <c r="D22" i="23" l="1"/>
  <c r="D26" i="23"/>
  <c r="C30" i="23"/>
  <c r="D33" i="23"/>
  <c r="C37" i="23"/>
  <c r="D41" i="23"/>
  <c r="C43" i="23"/>
  <c r="D49" i="23" s="1"/>
  <c r="C62" i="23"/>
  <c r="D66" i="23" s="1"/>
  <c r="C65" i="23"/>
  <c r="D51" i="23" l="1"/>
  <c r="D22" i="22"/>
  <c r="D26" i="22"/>
  <c r="C30" i="22"/>
  <c r="D33" i="22"/>
  <c r="C37" i="22"/>
  <c r="D41" i="22" s="1"/>
  <c r="C43" i="22"/>
  <c r="D49" i="22" s="1"/>
  <c r="C62" i="22"/>
  <c r="C65" i="22"/>
  <c r="D66" i="22"/>
  <c r="D51" i="22" l="1"/>
  <c r="D22" i="21"/>
  <c r="D26" i="21"/>
  <c r="D51" i="21" s="1"/>
  <c r="C30" i="21"/>
  <c r="D33" i="21"/>
  <c r="C37" i="21"/>
  <c r="D41" i="21"/>
  <c r="C43" i="21"/>
  <c r="D49" i="21" s="1"/>
  <c r="C62" i="21"/>
  <c r="C65" i="21"/>
  <c r="D66" i="21"/>
  <c r="D23" i="20" l="1"/>
  <c r="C62" i="20"/>
  <c r="D63" i="20" s="1"/>
  <c r="C59" i="20"/>
  <c r="C40" i="20"/>
  <c r="D46" i="20" s="1"/>
  <c r="C27" i="20"/>
  <c r="C34" i="20"/>
  <c r="D38" i="20" s="1"/>
  <c r="D19" i="20"/>
  <c r="D48" i="20" s="1"/>
  <c r="D30" i="20"/>
</calcChain>
</file>

<file path=xl/sharedStrings.xml><?xml version="1.0" encoding="utf-8"?>
<sst xmlns="http://schemas.openxmlformats.org/spreadsheetml/2006/main" count="712" uniqueCount="71">
  <si>
    <t>Estancias Infantiles</t>
  </si>
  <si>
    <t>Tesorería de la Seguridad Social</t>
  </si>
  <si>
    <t xml:space="preserve">  </t>
  </si>
  <si>
    <t xml:space="preserve">Balance General </t>
  </si>
  <si>
    <t>Del Régimen Contributivo</t>
  </si>
  <si>
    <t>Activo</t>
  </si>
  <si>
    <t>Efectivo en Bancos Recaudadores</t>
  </si>
  <si>
    <t>Banco de Reservas</t>
  </si>
  <si>
    <t/>
  </si>
  <si>
    <t>Banco Popular</t>
  </si>
  <si>
    <t>Banco del  Progreso</t>
  </si>
  <si>
    <t>Banco Santa Cruz</t>
  </si>
  <si>
    <t>Banco BDI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</si>
  <si>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</si>
  <si>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</si>
  <si>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</si>
  <si>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</si>
  <si>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</si>
  <si>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</si>
  <si>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</si>
  <si>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</si>
  <si>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</si>
  <si>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</si>
  <si>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</si>
  <si>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</si>
  <si>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>Cuenta de Reembolso a Empleadores</t>
  </si>
  <si>
    <t>Otros</t>
  </si>
  <si>
    <t>Inversiones</t>
  </si>
  <si>
    <t>Cuidado de la Salud de las Personas</t>
  </si>
  <si>
    <t>Total de Activo</t>
  </si>
  <si>
    <t>Pasivo</t>
  </si>
  <si>
    <t>Fondos por Distribuir</t>
  </si>
  <si>
    <t>AFP Reservas (FSS)</t>
  </si>
  <si>
    <t xml:space="preserve">Superintendencia de Pensiones </t>
  </si>
  <si>
    <t xml:space="preserve">Administradoras de Riesgos de Salud  </t>
  </si>
  <si>
    <t>IDSS (Estancias Infantiles )</t>
  </si>
  <si>
    <t xml:space="preserve">IDSS (Seguro de Riesgos Laborales) </t>
  </si>
  <si>
    <t>SISALRIL (Subsidios)</t>
  </si>
  <si>
    <t>SISALRIL ( Comisión )</t>
  </si>
  <si>
    <t>Total de Pasivo</t>
  </si>
  <si>
    <t xml:space="preserve">Administradoras de Fondos de Pensiones </t>
  </si>
  <si>
    <t>Banco Lopez de Haro</t>
  </si>
  <si>
    <t>Banco Vimenca</t>
  </si>
  <si>
    <t>Descuento Interes Corrido</t>
  </si>
  <si>
    <t>Inversiones Fondos Operativos del SUIR</t>
  </si>
  <si>
    <t>Fondos Operativos del SUIR</t>
  </si>
  <si>
    <t>Banco Promérica</t>
  </si>
  <si>
    <t>Operativos del SUIR</t>
  </si>
  <si>
    <t>Scotiabank</t>
  </si>
  <si>
    <t>Banco Citi</t>
  </si>
  <si>
    <t>Banco BHD-León</t>
  </si>
  <si>
    <t>Avance Inversion CSP</t>
  </si>
  <si>
    <t>Fondos y Provisión para Compensación TSS</t>
  </si>
  <si>
    <t>Al 31 de enero  2016</t>
  </si>
  <si>
    <t>Prov. Cheques Certificados de Empleadores</t>
  </si>
  <si>
    <t>Pasivos por Cheques Certificados de Empleadores</t>
  </si>
  <si>
    <t>Banco Ademi</t>
  </si>
  <si>
    <t>Banco Caribe</t>
  </si>
  <si>
    <t>Banco Banesco</t>
  </si>
  <si>
    <t>Al 29 de febrero  2016</t>
  </si>
  <si>
    <t>Al 31 de marzo de  2016</t>
  </si>
  <si>
    <t>Al 30 de abril de  2016</t>
  </si>
  <si>
    <t>Al 31 de mayo de  2016</t>
  </si>
  <si>
    <t>Al 30 de Junio  2016</t>
  </si>
  <si>
    <t>Al 31 de Julio  2016</t>
  </si>
  <si>
    <t>Al 31 de agosto  2016</t>
  </si>
  <si>
    <t>Al 30 de septiembre  2016</t>
  </si>
  <si>
    <t>Al 31 Octubre de  2016</t>
  </si>
  <si>
    <t>Al 30 de noviembre  2016</t>
  </si>
  <si>
    <t>Pensionados Policía Nacional</t>
  </si>
  <si>
    <t>Al 31 de diciembre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</si>
</sst>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8" fillId="0" borderId="0"/>
  </cellStyleXfs>
  <cellXfs count="73">
    <xf numFmtId="0" fontId="0" fillId="0" borderId="0" xfId="0"/>
    <xf numFmtId="43" fontId="0" fillId="0" borderId="0" xfId="0" applyNumberFormat="1"/>
    <xf numFmtId="0" fontId="3" fillId="0" borderId="0" xfId="0" applyFont="1"/>
    <xf numFmtId="0" fontId="9" fillId="0" borderId="0" xfId="0" applyFont="1"/>
    <xf numFmtId="43" fontId="0" fillId="0" borderId="0" xfId="1" applyFont="1"/>
    <xf numFmtId="0" fontId="4" fillId="0" borderId="0" xfId="0" applyFont="1"/>
    <xf numFmtId="0" fontId="0" fillId="0" borderId="0" xfId="0" quotePrefix="1"/>
    <xf numFmtId="0" fontId="2" fillId="0" borderId="0" xfId="0" applyFont="1"/>
    <xf numFmtId="43" fontId="2" fillId="0" borderId="0" xfId="0" applyNumberFormat="1" applyFont="1"/>
    <xf numFmtId="0" fontId="5" fillId="0" borderId="0" xfId="0" applyFont="1"/>
    <xf numFmtId="0" fontId="10" fillId="0" borderId="0" xfId="0" applyFont="1"/>
    <xf numFmtId="43" fontId="0" fillId="0" borderId="0" xfId="1" applyFont="1" applyFill="1"/>
    <xf numFmtId="43" fontId="2" fillId="0" borderId="0" xfId="1" applyFont="1"/>
    <xf numFmtId="0" fontId="0" fillId="0" borderId="0" xfId="0" applyBorder="1"/>
    <xf numFmtId="43" fontId="2" fillId="0" borderId="0" xfId="0" applyNumberFormat="1" applyFont="1" applyBorder="1"/>
    <xf numFmtId="43" fontId="0" fillId="0" borderId="0" xfId="0" applyNumberFormat="1" applyBorder="1"/>
    <xf numFmtId="0" fontId="6" fillId="0" borderId="0" xfId="0" applyFont="1"/>
    <xf numFmtId="43" fontId="2" fillId="0" borderId="1" xfId="0" applyNumberFormat="1" applyFont="1" applyBorder="1"/>
    <xf numFmtId="0" fontId="0" fillId="0" borderId="0" xfId="0" applyFill="1"/>
    <xf numFmtId="43" fontId="10" fillId="0" borderId="0" xfId="0" applyNumberFormat="1" applyFont="1"/>
    <xf numFmtId="43" fontId="0" fillId="0" borderId="0" xfId="0" applyNumberFormat="1" applyFill="1"/>
    <xf numFmtId="0" fontId="5" fillId="0" borderId="0" xfId="0" applyFont="1" applyFill="1"/>
    <xf numFmtId="0" fontId="10" fillId="0" borderId="0" xfId="0" applyFont="1" applyFill="1"/>
    <xf numFmtId="0" fontId="2" fillId="0" borderId="0" xfId="0" applyFont="1" applyFill="1"/>
    <xf numFmtId="43" fontId="2" fillId="0" borderId="1" xfId="0" applyNumberFormat="1" applyFont="1" applyFill="1" applyBorder="1"/>
    <xf numFmtId="43" fontId="2" fillId="0" borderId="0" xfId="0" applyNumberFormat="1" applyFont="1" applyFill="1"/>
    <xf numFmtId="43" fontId="12" fillId="0" borderId="0" xfId="1" applyFont="1" applyFill="1"/>
    <xf numFmtId="0" fontId="8" fillId="0" borderId="0" xfId="0" applyFont="1"/>
    <xf numFmtId="43" fontId="2" fillId="2" borderId="0" xfId="0" applyNumberFormat="1" applyFont="1" applyFill="1"/>
    <xf numFmtId="0" fontId="8" fillId="0" borderId="0" xfId="0" applyFont="1" applyFill="1"/>
    <xf numFmtId="43" fontId="8" fillId="2" borderId="0" xfId="1" applyFont="1" applyFill="1"/>
    <xf numFmtId="0" fontId="8" fillId="2" borderId="0" xfId="0" applyFont="1" applyFill="1"/>
    <xf numFmtId="0" fontId="3" fillId="2" borderId="0" xfId="0" applyFont="1" applyFill="1"/>
    <xf numFmtId="0" fontId="0" fillId="2" borderId="0" xfId="0" applyFill="1" applyBorder="1"/>
    <xf numFmtId="43" fontId="8" fillId="2" borderId="0" xfId="1" applyFont="1" applyFill="1" applyBorder="1"/>
    <xf numFmtId="43" fontId="11" fillId="2" borderId="0" xfId="1" applyFont="1" applyFill="1"/>
    <xf numFmtId="43" fontId="8" fillId="0" borderId="0" xfId="0" applyNumberFormat="1" applyFont="1"/>
    <xf numFmtId="0" fontId="8" fillId="0" borderId="0" xfId="5"/>
    <xf numFmtId="43" fontId="0" fillId="0" borderId="0" xfId="3" applyFont="1"/>
    <xf numFmtId="43" fontId="8" fillId="0" borderId="0" xfId="5" applyNumberFormat="1"/>
    <xf numFmtId="0" fontId="8" fillId="0" borderId="0" xfId="5" applyFill="1"/>
    <xf numFmtId="43" fontId="0" fillId="0" borderId="0" xfId="3" applyFont="1" applyFill="1"/>
    <xf numFmtId="43" fontId="8" fillId="0" borderId="0" xfId="5" applyNumberFormat="1" applyFill="1"/>
    <xf numFmtId="43" fontId="2" fillId="0" borderId="1" xfId="5" applyNumberFormat="1" applyFont="1" applyFill="1" applyBorder="1"/>
    <xf numFmtId="0" fontId="2" fillId="0" borderId="0" xfId="5" applyFont="1" applyFill="1"/>
    <xf numFmtId="0" fontId="8" fillId="0" borderId="0" xfId="5" applyFont="1" applyFill="1"/>
    <xf numFmtId="43" fontId="12" fillId="0" borderId="0" xfId="3" applyFont="1" applyFill="1"/>
    <xf numFmtId="43" fontId="2" fillId="0" borderId="0" xfId="5" applyNumberFormat="1" applyFont="1" applyFill="1"/>
    <xf numFmtId="0" fontId="5" fillId="0" borderId="0" xfId="5" applyFont="1" applyFill="1"/>
    <xf numFmtId="0" fontId="9" fillId="0" borderId="0" xfId="5" applyFont="1"/>
    <xf numFmtId="43" fontId="2" fillId="0" borderId="1" xfId="5" applyNumberFormat="1" applyFont="1" applyBorder="1"/>
    <xf numFmtId="0" fontId="6" fillId="0" borderId="0" xfId="5" applyFont="1"/>
    <xf numFmtId="43" fontId="8" fillId="0" borderId="0" xfId="5" applyNumberFormat="1" applyBorder="1"/>
    <xf numFmtId="43" fontId="2" fillId="0" borderId="0" xfId="5" applyNumberFormat="1" applyFont="1" applyBorder="1"/>
    <xf numFmtId="0" fontId="8" fillId="0" borderId="0" xfId="5" applyBorder="1"/>
    <xf numFmtId="43" fontId="8" fillId="2" borderId="0" xfId="3" applyFont="1" applyFill="1"/>
    <xf numFmtId="0" fontId="8" fillId="0" borderId="0" xfId="5" applyFont="1"/>
    <xf numFmtId="43" fontId="8" fillId="2" borderId="0" xfId="3" applyFont="1" applyFill="1" applyBorder="1"/>
    <xf numFmtId="0" fontId="8" fillId="2" borderId="0" xfId="5" applyFill="1" applyBorder="1"/>
    <xf numFmtId="0" fontId="3" fillId="0" borderId="0" xfId="5" applyFont="1"/>
    <xf numFmtId="43" fontId="2" fillId="0" borderId="0" xfId="3" applyFont="1"/>
    <xf numFmtId="0" fontId="8" fillId="2" borderId="0" xfId="5" applyFont="1" applyFill="1"/>
    <xf numFmtId="0" fontId="3" fillId="2" borderId="0" xfId="5" applyFont="1" applyFill="1"/>
    <xf numFmtId="43" fontId="2" fillId="0" borderId="0" xfId="5" applyNumberFormat="1" applyFont="1"/>
    <xf numFmtId="43" fontId="8" fillId="0" borderId="0" xfId="5" applyNumberFormat="1" applyFont="1"/>
    <xf numFmtId="0" fontId="5" fillId="0" borderId="0" xfId="5" applyFont="1"/>
    <xf numFmtId="0" fontId="2" fillId="0" borderId="0" xfId="5" applyFont="1"/>
    <xf numFmtId="0" fontId="8" fillId="0" borderId="0" xfId="5" quotePrefix="1"/>
    <xf numFmtId="0" fontId="4" fillId="0" borderId="0" xfId="5" applyFont="1"/>
    <xf numFmtId="164" fontId="0" fillId="0" borderId="0" xfId="0" applyNumberFormat="1"/>
    <xf numFmtId="164" fontId="8" fillId="0" borderId="0" xfId="5" applyNumberFormat="1"/>
    <xf numFmtId="0" fontId="7" fillId="0" borderId="0" xfId="0" applyFont="1" applyAlignment="1">
      <alignment horizontal="center"/>
    </xf>
    <xf numFmtId="0" fontId="7" fillId="0" borderId="0" xfId="5" applyFont="1" applyAlignment="1">
      <alignment horizontal="center"/>
    </xf>
  </cellXfs>
  <cellStyles count="6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2</xdr:row>
      <xdr:rowOff>285750</xdr:rowOff>
    </xdr:to>
    <xdr:pic>
      <xdr:nvPicPr>
        <xdr:cNvPr id="27942" name="Picture 7" descr="logo">
          <a:extLst>
            <a:ext uri="{FF2B5EF4-FFF2-40B4-BE49-F238E27FC236}">
              <a16:creationId xmlns:a16="http://schemas.microsoft.com/office/drawing/2014/main" id="{00000000-0008-0000-0000-0000266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23DBEC4B-5CF9-4C26-866D-843A5C0B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9BC4ADDF-6CFE-40A3-A347-9DC402E1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D044052F-F6CC-4796-971B-4DBC0F5D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F9CBB9B5-9B18-4714-BED4-138F6F09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AD3BF2BA-5A76-4E32-A4C4-0FBF9B84D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2DF6A6EA-8D72-47E9-A06D-ECBA458C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61384A6E-9C6D-43B5-AA9D-BF534963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0A0A8326-8E67-4FC7-94B9-637984E3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E65B25EE-E232-4EE4-808B-4D42B86D7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C32DC247-83BA-4989-A25C-A19DF482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AFA6022B-0DF5-405F-A01E-F897122E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G69"/>
  <sheetViews>
    <sheetView tabSelected="1" zoomScale="160" zoomScaleNormal="160" zoomScaleSheetLayoutView="100" workbookViewId="0">
      <selection activeCell="B67" sqref="B67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53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105554460.97</v>
      </c>
      <c r="D8" s="6" t="s">
        <v>8</v>
      </c>
      <c r="E8" s="4"/>
    </row>
    <row r="9" spans="1:5" ht="14.25" x14ac:dyDescent="0.2">
      <c r="B9" s="5" t="s">
        <v>48</v>
      </c>
      <c r="C9" s="4">
        <v>95234.27</v>
      </c>
      <c r="D9" s="6"/>
      <c r="E9" s="4"/>
    </row>
    <row r="10" spans="1:5" ht="14.25" x14ac:dyDescent="0.2">
      <c r="B10" s="5" t="s">
        <v>49</v>
      </c>
      <c r="C10" s="4">
        <v>383638.73</v>
      </c>
      <c r="D10" s="6"/>
      <c r="E10" s="4"/>
    </row>
    <row r="11" spans="1:5" x14ac:dyDescent="0.2">
      <c r="B11" t="s">
        <v>9</v>
      </c>
      <c r="C11" s="4">
        <v>78684351.469999999</v>
      </c>
      <c r="E11" s="4"/>
    </row>
    <row r="12" spans="1:5" x14ac:dyDescent="0.2">
      <c r="B12" s="27" t="s">
        <v>46</v>
      </c>
      <c r="C12" s="4">
        <v>78829.509999999995</v>
      </c>
      <c r="E12" s="4"/>
    </row>
    <row r="13" spans="1:5" x14ac:dyDescent="0.2">
      <c r="B13" t="s">
        <v>10</v>
      </c>
      <c r="C13" s="4">
        <v>4125194.01</v>
      </c>
      <c r="E13" s="4"/>
    </row>
    <row r="14" spans="1:5" x14ac:dyDescent="0.2">
      <c r="B14" t="s">
        <v>50</v>
      </c>
      <c r="C14" s="4">
        <v>14501691.17</v>
      </c>
    </row>
    <row r="15" spans="1:5" x14ac:dyDescent="0.2">
      <c r="B15" t="s">
        <v>11</v>
      </c>
      <c r="C15" s="4">
        <v>702667.22</v>
      </c>
    </row>
    <row r="16" spans="1:5" x14ac:dyDescent="0.2">
      <c r="B16" t="s">
        <v>12</v>
      </c>
      <c r="C16" s="4">
        <v>337152.94</v>
      </c>
      <c r="D16" s="7"/>
    </row>
    <row r="17" spans="2:6" x14ac:dyDescent="0.2">
      <c r="B17" t="s">
        <v>42</v>
      </c>
      <c r="C17" s="4">
        <v>111815.62</v>
      </c>
      <c r="D17" s="7"/>
    </row>
    <row r="18" spans="2:6" x14ac:dyDescent="0.2">
      <c r="B18" t="s">
        <v>41</v>
      </c>
      <c r="C18" s="4">
        <v>282537.75</v>
      </c>
      <c r="D18" s="7"/>
      <c r="E18" s="4"/>
    </row>
    <row r="19" spans="2:6" x14ac:dyDescent="0.2">
      <c r="C19" s="4"/>
      <c r="D19" s="28">
        <f>SUM(C8:C18)</f>
        <v>204857573.65999997</v>
      </c>
      <c r="E19" s="4"/>
    </row>
    <row r="20" spans="2:6" x14ac:dyDescent="0.2">
      <c r="B20" s="9" t="s">
        <v>13</v>
      </c>
      <c r="C20" s="4"/>
      <c r="E20" s="4"/>
    </row>
    <row r="21" spans="2:6" x14ac:dyDescent="0.2">
      <c r="B21" t="s">
        <v>14</v>
      </c>
      <c r="C21" s="4">
        <v>1759745.74</v>
      </c>
      <c r="D21" s="19"/>
      <c r="E21" s="4"/>
      <c r="F21" s="4"/>
    </row>
    <row r="22" spans="2:6" x14ac:dyDescent="0.2">
      <c r="B22" t="s">
        <v>15</v>
      </c>
      <c r="C22" s="4">
        <v>667253.61</v>
      </c>
      <c r="D22" s="10"/>
      <c r="E22" s="4"/>
      <c r="F22" s="4"/>
    </row>
    <row r="23" spans="2:6" x14ac:dyDescent="0.2">
      <c r="D23" s="8">
        <f>SUM(C21:C22)</f>
        <v>2426999.35</v>
      </c>
      <c r="E23" s="4"/>
      <c r="F23" s="4"/>
    </row>
    <row r="24" spans="2:6" ht="15" x14ac:dyDescent="0.25">
      <c r="B24" s="2" t="s">
        <v>16</v>
      </c>
      <c r="C24" s="4"/>
      <c r="E24" s="4"/>
      <c r="F24" s="4"/>
    </row>
    <row r="25" spans="2:6" x14ac:dyDescent="0.2">
      <c r="B25" t="s">
        <v>17</v>
      </c>
      <c r="C25" s="35">
        <v>55124278.850000001</v>
      </c>
      <c r="D25" s="1"/>
      <c r="E25" s="4"/>
      <c r="F25" s="4"/>
    </row>
    <row r="26" spans="2:6" x14ac:dyDescent="0.2">
      <c r="B26" t="s">
        <v>18</v>
      </c>
      <c r="C26" s="35">
        <v>729955670.41999996</v>
      </c>
      <c r="D26" s="1"/>
      <c r="E26" s="4"/>
      <c r="F26" s="4"/>
    </row>
    <row r="27" spans="2:6" x14ac:dyDescent="0.2">
      <c r="B27" s="31" t="s">
        <v>19</v>
      </c>
      <c r="C27" s="30">
        <f>217949770.28-6.6-9644.15</f>
        <v>217940119.53</v>
      </c>
      <c r="D27" s="1"/>
      <c r="E27" s="4"/>
      <c r="F27" s="4"/>
    </row>
    <row r="28" spans="2:6" x14ac:dyDescent="0.2">
      <c r="B28" s="31" t="s">
        <v>20</v>
      </c>
      <c r="C28" s="35">
        <v>7406115.3099999996</v>
      </c>
      <c r="E28" s="4"/>
      <c r="F28" s="4"/>
    </row>
    <row r="29" spans="2:6" x14ac:dyDescent="0.2">
      <c r="B29" s="31" t="s">
        <v>21</v>
      </c>
      <c r="C29" s="35">
        <v>59608535.759999998</v>
      </c>
      <c r="E29" s="4"/>
      <c r="F29" s="4"/>
    </row>
    <row r="30" spans="2:6" x14ac:dyDescent="0.2">
      <c r="B30" s="31"/>
      <c r="D30" s="12">
        <f>SUM(C25:C29)</f>
        <v>1070034719.8699999</v>
      </c>
      <c r="E30" s="4"/>
      <c r="F30" s="4"/>
    </row>
    <row r="31" spans="2:6" ht="35.25" customHeight="1" x14ac:dyDescent="0.25">
      <c r="B31" s="32" t="s">
        <v>22</v>
      </c>
      <c r="C31" s="4"/>
      <c r="E31" s="4"/>
      <c r="F31" s="4"/>
    </row>
    <row r="32" spans="2:6" x14ac:dyDescent="0.2">
      <c r="B32" s="31" t="s">
        <v>23</v>
      </c>
      <c r="C32" s="35">
        <v>0</v>
      </c>
      <c r="D32" t="s">
        <v>2</v>
      </c>
      <c r="E32" s="4"/>
      <c r="F32" s="4"/>
    </row>
    <row r="33" spans="2:6" x14ac:dyDescent="0.2">
      <c r="B33" s="31" t="s">
        <v>24</v>
      </c>
      <c r="C33" s="35">
        <v>9644.15</v>
      </c>
      <c r="E33" s="4"/>
      <c r="F33" s="4"/>
    </row>
    <row r="34" spans="2:6" x14ac:dyDescent="0.2">
      <c r="B34" s="31" t="s">
        <v>25</v>
      </c>
      <c r="C34" s="35">
        <f>11323436.03+43601660.18</f>
        <v>54925096.210000001</v>
      </c>
      <c r="E34" s="4"/>
      <c r="F34" s="4"/>
    </row>
    <row r="35" spans="2:6" x14ac:dyDescent="0.2">
      <c r="B35" s="31" t="s">
        <v>45</v>
      </c>
      <c r="C35" s="35">
        <v>2748858.15</v>
      </c>
      <c r="E35" s="4"/>
      <c r="F35" s="4"/>
    </row>
    <row r="36" spans="2:6" x14ac:dyDescent="0.2">
      <c r="B36" s="31" t="s">
        <v>54</v>
      </c>
      <c r="C36" s="35">
        <v>169994.21</v>
      </c>
      <c r="E36" s="4"/>
      <c r="F36" s="4"/>
    </row>
    <row r="37" spans="2:6" x14ac:dyDescent="0.2">
      <c r="B37" s="31" t="s">
        <v>26</v>
      </c>
      <c r="C37" s="35">
        <v>6.6</v>
      </c>
      <c r="E37" s="4"/>
      <c r="F37" s="4"/>
    </row>
    <row r="38" spans="2:6" x14ac:dyDescent="0.2">
      <c r="C38" s="11"/>
      <c r="D38" s="12">
        <f>SUM(C32:C37)</f>
        <v>57853599.32</v>
      </c>
      <c r="E38" s="4"/>
      <c r="F38" s="4"/>
    </row>
    <row r="39" spans="2:6" ht="15" x14ac:dyDescent="0.25">
      <c r="B39" s="2" t="s">
        <v>27</v>
      </c>
      <c r="C39" s="4"/>
      <c r="E39" s="4"/>
      <c r="F39" s="4"/>
    </row>
    <row r="40" spans="2:6" x14ac:dyDescent="0.2">
      <c r="B40" t="s">
        <v>28</v>
      </c>
      <c r="C40" s="30">
        <f>3660535388.72+1703760000+935128455.22+20000000</f>
        <v>6319423843.9399996</v>
      </c>
      <c r="D40" s="1"/>
      <c r="E40" s="4"/>
      <c r="F40" s="4"/>
    </row>
    <row r="41" spans="2:6" x14ac:dyDescent="0.2">
      <c r="B41" s="33" t="s">
        <v>51</v>
      </c>
      <c r="C41" s="34">
        <v>846813.66</v>
      </c>
      <c r="D41" s="1"/>
      <c r="E41" s="4"/>
      <c r="F41" s="4"/>
    </row>
    <row r="42" spans="2:6" x14ac:dyDescent="0.2">
      <c r="B42" t="s">
        <v>43</v>
      </c>
      <c r="C42" s="35">
        <v>0</v>
      </c>
      <c r="D42" s="1"/>
      <c r="E42" s="4"/>
      <c r="F42" s="4"/>
    </row>
    <row r="43" spans="2:6" x14ac:dyDescent="0.2">
      <c r="B43" t="s">
        <v>24</v>
      </c>
      <c r="C43" s="35">
        <v>139021092.80000001</v>
      </c>
      <c r="E43" s="4"/>
      <c r="F43" s="4"/>
    </row>
    <row r="44" spans="2:6" x14ac:dyDescent="0.2">
      <c r="B44" t="s">
        <v>0</v>
      </c>
      <c r="C44" s="35">
        <v>863850533.34000003</v>
      </c>
      <c r="D44" s="13"/>
      <c r="E44" s="4"/>
      <c r="F44" s="4"/>
    </row>
    <row r="45" spans="2:6" x14ac:dyDescent="0.2">
      <c r="B45" s="27" t="s">
        <v>44</v>
      </c>
      <c r="C45" s="35">
        <v>43008034.159999996</v>
      </c>
      <c r="D45" s="13"/>
      <c r="F45" s="4"/>
    </row>
    <row r="46" spans="2:6" x14ac:dyDescent="0.2">
      <c r="C46" s="1"/>
      <c r="D46" s="14">
        <f>SUM(C40:C45)</f>
        <v>7366150317.8999996</v>
      </c>
      <c r="E46" s="4"/>
      <c r="F46" s="4"/>
    </row>
    <row r="47" spans="2:6" x14ac:dyDescent="0.2">
      <c r="C47" s="4"/>
      <c r="D47" s="15"/>
      <c r="F47" s="4"/>
    </row>
    <row r="48" spans="2:6" ht="15.75" thickBot="1" x14ac:dyDescent="0.3">
      <c r="B48" s="16" t="s">
        <v>29</v>
      </c>
      <c r="D48" s="17">
        <f>SUM(D16:D46)</f>
        <v>8701323210.0999985</v>
      </c>
      <c r="E48" s="4"/>
      <c r="F48" s="4"/>
    </row>
    <row r="49" spans="1:7" ht="16.5" thickTop="1" x14ac:dyDescent="0.25">
      <c r="A49" s="3" t="s">
        <v>30</v>
      </c>
      <c r="C49" s="1"/>
      <c r="D49" s="1"/>
      <c r="E49" s="1"/>
      <c r="F49" s="4"/>
    </row>
    <row r="50" spans="1:7" s="18" customFormat="1" x14ac:dyDescent="0.2">
      <c r="D50" s="20"/>
      <c r="E50" s="11"/>
      <c r="F50" s="11"/>
      <c r="G50" s="11"/>
    </row>
    <row r="51" spans="1:7" s="18" customFormat="1" x14ac:dyDescent="0.2">
      <c r="B51" s="21" t="s">
        <v>31</v>
      </c>
      <c r="C51" s="11"/>
      <c r="F51" s="11"/>
      <c r="G51" s="11"/>
    </row>
    <row r="52" spans="1:7" s="18" customFormat="1" x14ac:dyDescent="0.2">
      <c r="B52" s="18" t="s">
        <v>40</v>
      </c>
      <c r="C52" s="11">
        <v>900959356.17999995</v>
      </c>
      <c r="F52" s="11"/>
      <c r="G52" s="11"/>
    </row>
    <row r="53" spans="1:7" s="18" customFormat="1" x14ac:dyDescent="0.2">
      <c r="B53" s="18" t="s">
        <v>32</v>
      </c>
      <c r="C53" s="11">
        <v>5406725.5999999996</v>
      </c>
      <c r="D53" s="20"/>
      <c r="F53" s="11"/>
      <c r="G53" s="11"/>
    </row>
    <row r="54" spans="1:7" s="18" customFormat="1" x14ac:dyDescent="0.2">
      <c r="B54" s="22" t="s">
        <v>33</v>
      </c>
      <c r="C54" s="11">
        <v>819948.71</v>
      </c>
      <c r="D54" s="25"/>
      <c r="E54" s="20"/>
      <c r="F54" s="11"/>
      <c r="G54" s="11"/>
    </row>
    <row r="55" spans="1:7" s="18" customFormat="1" x14ac:dyDescent="0.2">
      <c r="B55" s="22" t="s">
        <v>34</v>
      </c>
      <c r="C55" s="11">
        <v>6826813947.4200001</v>
      </c>
      <c r="D55" s="11"/>
      <c r="F55" s="11"/>
      <c r="G55" s="11"/>
    </row>
    <row r="56" spans="1:7" s="18" customFormat="1" x14ac:dyDescent="0.2">
      <c r="B56" s="22" t="s">
        <v>35</v>
      </c>
      <c r="C56" s="11">
        <v>896875277.72000003</v>
      </c>
      <c r="D56" s="11"/>
      <c r="E56" s="20"/>
      <c r="F56" s="26"/>
      <c r="G56" s="11"/>
    </row>
    <row r="57" spans="1:7" s="18" customFormat="1" x14ac:dyDescent="0.2">
      <c r="B57" s="22" t="s">
        <v>36</v>
      </c>
      <c r="C57" s="11">
        <v>16990797.66</v>
      </c>
      <c r="F57" s="11"/>
      <c r="G57" s="11"/>
    </row>
    <row r="58" spans="1:7" s="18" customFormat="1" x14ac:dyDescent="0.2">
      <c r="B58" s="22" t="s">
        <v>37</v>
      </c>
      <c r="C58" s="11">
        <v>6399122.71</v>
      </c>
      <c r="D58" s="20"/>
      <c r="E58" s="20"/>
      <c r="F58" s="11"/>
      <c r="G58" s="11"/>
    </row>
    <row r="59" spans="1:7" s="18" customFormat="1" x14ac:dyDescent="0.2">
      <c r="B59" s="22" t="s">
        <v>38</v>
      </c>
      <c r="C59" s="11">
        <f>759556.99+371590.59</f>
        <v>1131147.58</v>
      </c>
      <c r="F59" s="11"/>
      <c r="G59" s="11"/>
    </row>
    <row r="60" spans="1:7" s="18" customFormat="1" x14ac:dyDescent="0.2">
      <c r="B60" s="29" t="s">
        <v>47</v>
      </c>
      <c r="C60" s="11">
        <v>41556892.310000002</v>
      </c>
      <c r="F60" s="11"/>
      <c r="G60" s="11"/>
    </row>
    <row r="61" spans="1:7" s="18" customFormat="1" x14ac:dyDescent="0.2">
      <c r="B61" s="29" t="s">
        <v>55</v>
      </c>
      <c r="C61" s="11">
        <v>169994.21</v>
      </c>
      <c r="F61" s="11"/>
      <c r="G61" s="11"/>
    </row>
    <row r="62" spans="1:7" s="18" customFormat="1" x14ac:dyDescent="0.2">
      <c r="B62" s="29" t="s">
        <v>52</v>
      </c>
      <c r="C62" s="11">
        <f>3150000+1050000</f>
        <v>4200000</v>
      </c>
      <c r="F62" s="11"/>
      <c r="G62" s="11"/>
    </row>
    <row r="63" spans="1:7" s="18" customFormat="1" ht="16.5" customHeight="1" thickBot="1" x14ac:dyDescent="0.25">
      <c r="B63" s="23" t="s">
        <v>39</v>
      </c>
      <c r="D63" s="24">
        <f>SUM(C52:C62)</f>
        <v>8701323210.0999966</v>
      </c>
      <c r="E63" s="20"/>
      <c r="F63" s="11"/>
      <c r="G63" s="11"/>
    </row>
    <row r="64" spans="1:7" s="18" customFormat="1" ht="13.5" thickTop="1" x14ac:dyDescent="0.2">
      <c r="C64" s="20"/>
      <c r="D64" s="20"/>
      <c r="F64" s="11"/>
      <c r="G64" s="11"/>
    </row>
    <row r="65" spans="3:7" s="18" customFormat="1" x14ac:dyDescent="0.2">
      <c r="C65" s="20"/>
      <c r="D65" s="20"/>
      <c r="F65" s="20"/>
      <c r="G65" s="11"/>
    </row>
    <row r="66" spans="3:7" s="18" customFormat="1" x14ac:dyDescent="0.2">
      <c r="C66" s="20"/>
      <c r="D66" s="20"/>
      <c r="G66" s="11"/>
    </row>
    <row r="67" spans="3:7" s="18" customFormat="1" x14ac:dyDescent="0.2">
      <c r="D67" s="20"/>
      <c r="G67" s="11"/>
    </row>
    <row r="68" spans="3:7" x14ac:dyDescent="0.2">
      <c r="D68" s="1"/>
    </row>
    <row r="69" spans="3:7" x14ac:dyDescent="0.2">
      <c r="D69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375D-3A3C-4D2D-B550-214A3B4D9630}">
  <sheetPr>
    <tabColor indexed="13"/>
    <pageSetUpPr fitToPage="1"/>
  </sheetPr>
  <dimension ref="A1:G72"/>
  <sheetViews>
    <sheetView showGridLines="0" zoomScale="160" zoomScaleNormal="160" zoomScaleSheetLayoutView="100" workbookViewId="0">
      <selection activeCell="A66" sqref="A66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67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64188996.649999999</v>
      </c>
      <c r="D8" s="6" t="s">
        <v>8</v>
      </c>
      <c r="E8" s="4"/>
    </row>
    <row r="9" spans="1:5" ht="14.25" x14ac:dyDescent="0.2">
      <c r="B9" s="5" t="s">
        <v>48</v>
      </c>
      <c r="C9" s="4">
        <v>175140.05</v>
      </c>
      <c r="D9" s="6"/>
      <c r="E9" s="4"/>
    </row>
    <row r="10" spans="1:5" ht="14.25" x14ac:dyDescent="0.2">
      <c r="B10" s="5" t="s">
        <v>49</v>
      </c>
      <c r="C10" s="4">
        <v>1371682.62</v>
      </c>
      <c r="D10" s="6"/>
      <c r="E10" s="4"/>
    </row>
    <row r="11" spans="1:5" x14ac:dyDescent="0.2">
      <c r="B11" t="s">
        <v>9</v>
      </c>
      <c r="C11" s="4">
        <v>66183314.939999998</v>
      </c>
      <c r="E11" s="4"/>
    </row>
    <row r="12" spans="1:5" x14ac:dyDescent="0.2">
      <c r="B12" s="27" t="s">
        <v>46</v>
      </c>
      <c r="C12" s="4">
        <v>558743.57999999996</v>
      </c>
      <c r="E12" s="4"/>
    </row>
    <row r="13" spans="1:5" x14ac:dyDescent="0.2">
      <c r="B13" t="s">
        <v>10</v>
      </c>
      <c r="C13" s="4">
        <v>7579384.4800000004</v>
      </c>
      <c r="E13" s="4"/>
    </row>
    <row r="14" spans="1:5" x14ac:dyDescent="0.2">
      <c r="B14" t="s">
        <v>50</v>
      </c>
      <c r="C14" s="4">
        <v>28804377.050000001</v>
      </c>
    </row>
    <row r="15" spans="1:5" x14ac:dyDescent="0.2">
      <c r="B15" t="s">
        <v>58</v>
      </c>
      <c r="C15" s="4">
        <v>178582.03</v>
      </c>
    </row>
    <row r="16" spans="1:5" x14ac:dyDescent="0.2">
      <c r="B16" t="s">
        <v>11</v>
      </c>
      <c r="C16" s="4">
        <v>2169189.0299999998</v>
      </c>
    </row>
    <row r="17" spans="2:6" x14ac:dyDescent="0.2">
      <c r="B17" t="s">
        <v>57</v>
      </c>
      <c r="C17" s="4">
        <v>410729.14</v>
      </c>
      <c r="D17" s="7"/>
    </row>
    <row r="18" spans="2:6" x14ac:dyDescent="0.2">
      <c r="B18" t="s">
        <v>12</v>
      </c>
      <c r="C18" s="4">
        <v>176864.56</v>
      </c>
      <c r="D18" s="7"/>
    </row>
    <row r="19" spans="2:6" x14ac:dyDescent="0.2">
      <c r="B19" t="s">
        <v>42</v>
      </c>
      <c r="C19" s="4">
        <v>220351.37</v>
      </c>
      <c r="D19" s="7"/>
      <c r="E19" s="4"/>
    </row>
    <row r="20" spans="2:6" x14ac:dyDescent="0.2">
      <c r="B20" t="s">
        <v>41</v>
      </c>
      <c r="C20" s="4">
        <v>51590.239999999998</v>
      </c>
      <c r="D20" s="7"/>
      <c r="E20" s="4"/>
    </row>
    <row r="21" spans="2:6" x14ac:dyDescent="0.2">
      <c r="C21" s="4"/>
      <c r="D21" s="7"/>
      <c r="E21" s="4"/>
    </row>
    <row r="22" spans="2:6" x14ac:dyDescent="0.2">
      <c r="C22" s="4"/>
      <c r="D22" s="4">
        <f>SUM(C8:C21)</f>
        <v>172068945.74000001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1934018</v>
      </c>
      <c r="D24" s="36"/>
      <c r="E24" s="4"/>
      <c r="F24" s="4"/>
    </row>
    <row r="25" spans="2:6" x14ac:dyDescent="0.2">
      <c r="B25" t="s">
        <v>15</v>
      </c>
      <c r="C25" s="4">
        <v>1090813.8999999999</v>
      </c>
      <c r="D25" s="27"/>
      <c r="E25" s="4"/>
      <c r="F25" s="4"/>
    </row>
    <row r="26" spans="2:6" x14ac:dyDescent="0.2">
      <c r="D26" s="8">
        <f>SUM(C24:C25)</f>
        <v>3024831.9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84117560.459999993</v>
      </c>
      <c r="D28" s="1"/>
      <c r="E28" s="4"/>
      <c r="F28" s="4"/>
    </row>
    <row r="29" spans="2:6" x14ac:dyDescent="0.2">
      <c r="B29" t="s">
        <v>18</v>
      </c>
      <c r="C29" s="30">
        <v>850342851.55999994</v>
      </c>
      <c r="D29" s="1"/>
      <c r="E29" s="4"/>
      <c r="F29" s="4"/>
    </row>
    <row r="30" spans="2:6" x14ac:dyDescent="0.2">
      <c r="B30" s="31" t="s">
        <v>19</v>
      </c>
      <c r="C30" s="30">
        <f>394729657-6.6-1277.61</f>
        <v>394728372.78999996</v>
      </c>
      <c r="D30" s="1"/>
      <c r="E30" s="4"/>
      <c r="F30" s="4"/>
    </row>
    <row r="31" spans="2:6" x14ac:dyDescent="0.2">
      <c r="B31" s="31" t="s">
        <v>20</v>
      </c>
      <c r="C31" s="30">
        <v>17012067.989999998</v>
      </c>
      <c r="E31" s="4"/>
      <c r="F31" s="4"/>
    </row>
    <row r="32" spans="2:6" x14ac:dyDescent="0.2">
      <c r="B32" s="31" t="s">
        <v>21</v>
      </c>
      <c r="C32" s="30">
        <v>59590924.850000001</v>
      </c>
      <c r="E32" s="4"/>
      <c r="F32" s="4"/>
    </row>
    <row r="33" spans="2:6" x14ac:dyDescent="0.2">
      <c r="B33" s="31"/>
      <c r="D33" s="12">
        <f>SUM(C28:C32)</f>
        <v>1405791777.6499999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1277.6099999999999</v>
      </c>
      <c r="E36" s="4"/>
      <c r="F36" s="4"/>
    </row>
    <row r="37" spans="2:6" x14ac:dyDescent="0.2">
      <c r="B37" s="31" t="s">
        <v>25</v>
      </c>
      <c r="C37" s="30">
        <f>11323436.03+517613.36</f>
        <v>11841049.389999999</v>
      </c>
      <c r="E37" s="4"/>
      <c r="F37" s="4"/>
    </row>
    <row r="38" spans="2:6" x14ac:dyDescent="0.2">
      <c r="B38" s="31" t="s">
        <v>45</v>
      </c>
      <c r="C38" s="30">
        <v>1108703.3700000001</v>
      </c>
      <c r="E38" s="4"/>
      <c r="F38" s="4"/>
    </row>
    <row r="39" spans="2:6" x14ac:dyDescent="0.2">
      <c r="B39" s="31" t="s">
        <v>54</v>
      </c>
      <c r="C39" s="30">
        <v>0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12951036.969999997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5314583048.49+500000000+557243608.36+20000000+45481854.23</f>
        <v>6437308511.079999</v>
      </c>
      <c r="D43" s="1"/>
      <c r="E43" s="4"/>
      <c r="F43" s="4"/>
    </row>
    <row r="44" spans="2:6" x14ac:dyDescent="0.2">
      <c r="B44" s="33" t="s">
        <v>51</v>
      </c>
      <c r="C44" s="34">
        <v>0</v>
      </c>
      <c r="D44" s="1"/>
      <c r="E44" s="4"/>
      <c r="F44" s="4"/>
    </row>
    <row r="45" spans="2:6" x14ac:dyDescent="0.2">
      <c r="B45" t="s">
        <v>43</v>
      </c>
      <c r="C45" s="30">
        <v>0</v>
      </c>
      <c r="D45" s="1"/>
      <c r="E45" s="4"/>
      <c r="F45" s="4"/>
    </row>
    <row r="46" spans="2:6" x14ac:dyDescent="0.2">
      <c r="B46" t="s">
        <v>24</v>
      </c>
      <c r="C46" s="30">
        <v>174307726.36000001</v>
      </c>
      <c r="E46" s="4"/>
      <c r="F46" s="4"/>
    </row>
    <row r="47" spans="2:6" x14ac:dyDescent="0.2">
      <c r="B47" t="s">
        <v>0</v>
      </c>
      <c r="C47" s="30">
        <v>1015596277.22</v>
      </c>
      <c r="D47" s="13"/>
      <c r="E47" s="4"/>
      <c r="F47" s="4"/>
    </row>
    <row r="48" spans="2:6" x14ac:dyDescent="0.2">
      <c r="B48" s="27" t="s">
        <v>44</v>
      </c>
      <c r="C48" s="30">
        <v>47852117.390000001</v>
      </c>
      <c r="D48" s="13"/>
      <c r="F48" s="4"/>
    </row>
    <row r="49" spans="1:7" x14ac:dyDescent="0.2">
      <c r="C49" s="1"/>
      <c r="D49" s="14">
        <f>SUM(C43:C48)</f>
        <v>7675064632.0499992</v>
      </c>
      <c r="E49" s="4"/>
      <c r="F49" s="4"/>
    </row>
    <row r="50" spans="1:7" x14ac:dyDescent="0.2">
      <c r="C50" s="4"/>
      <c r="D50" s="15"/>
      <c r="F50" s="4"/>
    </row>
    <row r="51" spans="1:7" ht="15.75" thickBot="1" x14ac:dyDescent="0.3">
      <c r="B51" s="16" t="s">
        <v>29</v>
      </c>
      <c r="D51" s="17">
        <f>SUM(D17:D49)</f>
        <v>9268901224.3099995</v>
      </c>
      <c r="E51" s="4"/>
      <c r="F51" s="4"/>
    </row>
    <row r="52" spans="1:7" ht="16.5" thickTop="1" x14ac:dyDescent="0.25">
      <c r="A52" s="3" t="s">
        <v>30</v>
      </c>
      <c r="C52" s="1"/>
      <c r="D52" s="20"/>
      <c r="E52" s="1"/>
      <c r="F52" s="4"/>
    </row>
    <row r="53" spans="1:7" s="18" customFormat="1" x14ac:dyDescent="0.2">
      <c r="D53" s="20"/>
      <c r="E53" s="11"/>
      <c r="F53" s="11"/>
      <c r="G53" s="11"/>
    </row>
    <row r="54" spans="1:7" s="18" customFormat="1" x14ac:dyDescent="0.2">
      <c r="B54" s="21" t="s">
        <v>31</v>
      </c>
      <c r="C54" s="11"/>
      <c r="F54" s="11"/>
      <c r="G54" s="11"/>
    </row>
    <row r="55" spans="1:7" s="18" customFormat="1" x14ac:dyDescent="0.2">
      <c r="B55" s="18" t="s">
        <v>40</v>
      </c>
      <c r="C55" s="11">
        <v>967249684.75999999</v>
      </c>
      <c r="F55" s="11"/>
      <c r="G55" s="11"/>
    </row>
    <row r="56" spans="1:7" s="18" customFormat="1" x14ac:dyDescent="0.2">
      <c r="B56" s="18" t="s">
        <v>32</v>
      </c>
      <c r="C56" s="11">
        <v>5927845.8899999997</v>
      </c>
      <c r="D56" s="20"/>
      <c r="F56" s="11"/>
      <c r="G56" s="11"/>
    </row>
    <row r="57" spans="1:7" s="18" customFormat="1" x14ac:dyDescent="0.2">
      <c r="B57" s="29" t="s">
        <v>33</v>
      </c>
      <c r="C57" s="11">
        <v>857466.83</v>
      </c>
      <c r="D57" s="25"/>
      <c r="E57" s="20"/>
      <c r="F57" s="11"/>
      <c r="G57" s="11"/>
    </row>
    <row r="58" spans="1:7" s="18" customFormat="1" x14ac:dyDescent="0.2">
      <c r="B58" s="29" t="s">
        <v>34</v>
      </c>
      <c r="C58" s="11">
        <v>7186721378.0299997</v>
      </c>
      <c r="D58" s="11"/>
      <c r="F58" s="11"/>
      <c r="G58" s="11"/>
    </row>
    <row r="59" spans="1:7" s="18" customFormat="1" x14ac:dyDescent="0.2">
      <c r="B59" s="29" t="s">
        <v>35</v>
      </c>
      <c r="C59" s="11">
        <v>1023847153.28</v>
      </c>
      <c r="D59" s="11"/>
      <c r="E59" s="20"/>
      <c r="F59" s="26"/>
      <c r="G59" s="11"/>
    </row>
    <row r="60" spans="1:7" s="18" customFormat="1" x14ac:dyDescent="0.2">
      <c r="B60" s="29" t="s">
        <v>36</v>
      </c>
      <c r="C60" s="11">
        <v>27730064.030000001</v>
      </c>
      <c r="F60" s="11"/>
      <c r="G60" s="11"/>
    </row>
    <row r="61" spans="1:7" s="18" customFormat="1" x14ac:dyDescent="0.2">
      <c r="B61" s="29" t="s">
        <v>37</v>
      </c>
      <c r="C61" s="11">
        <v>6358887.0999999996</v>
      </c>
      <c r="D61" s="20"/>
      <c r="E61" s="20"/>
      <c r="F61" s="11"/>
      <c r="G61" s="11"/>
    </row>
    <row r="62" spans="1:7" s="18" customFormat="1" x14ac:dyDescent="0.2">
      <c r="B62" s="29" t="s">
        <v>38</v>
      </c>
      <c r="C62" s="11">
        <f>811999.86+435923.77</f>
        <v>1247923.6299999999</v>
      </c>
      <c r="F62" s="11"/>
      <c r="G62" s="11"/>
    </row>
    <row r="63" spans="1:7" s="18" customFormat="1" x14ac:dyDescent="0.2">
      <c r="B63" s="29" t="s">
        <v>47</v>
      </c>
      <c r="C63" s="11">
        <v>39360820.759999998</v>
      </c>
      <c r="F63" s="11"/>
      <c r="G63" s="11"/>
    </row>
    <row r="64" spans="1:7" s="18" customFormat="1" x14ac:dyDescent="0.2">
      <c r="B64" s="29" t="s">
        <v>55</v>
      </c>
      <c r="C64" s="11">
        <v>0</v>
      </c>
      <c r="F64" s="11"/>
      <c r="G64" s="11"/>
    </row>
    <row r="65" spans="2:7" s="18" customFormat="1" x14ac:dyDescent="0.2">
      <c r="B65" s="29" t="s">
        <v>52</v>
      </c>
      <c r="C65" s="11">
        <f>7200000+2400000</f>
        <v>9600000</v>
      </c>
      <c r="F65" s="11"/>
      <c r="G65" s="11"/>
    </row>
    <row r="66" spans="2:7" s="18" customFormat="1" ht="16.5" customHeight="1" thickBot="1" x14ac:dyDescent="0.25">
      <c r="B66" s="23" t="s">
        <v>39</v>
      </c>
      <c r="D66" s="24">
        <f>SUM(C55:C65)</f>
        <v>9268901224.3100014</v>
      </c>
      <c r="E66" s="20"/>
      <c r="F66" s="11"/>
      <c r="G66" s="11"/>
    </row>
    <row r="67" spans="2:7" s="18" customFormat="1" ht="13.5" thickTop="1" x14ac:dyDescent="0.2">
      <c r="C67" s="20"/>
      <c r="D67" s="20"/>
      <c r="F67" s="11"/>
      <c r="G67" s="11"/>
    </row>
    <row r="68" spans="2:7" s="18" customFormat="1" x14ac:dyDescent="0.2">
      <c r="C68" s="20"/>
      <c r="D68" s="20"/>
      <c r="F68" s="20"/>
      <c r="G68" s="11"/>
    </row>
    <row r="69" spans="2:7" s="18" customFormat="1" x14ac:dyDescent="0.2">
      <c r="C69" s="20"/>
      <c r="D69" s="20"/>
      <c r="G69" s="11"/>
    </row>
    <row r="70" spans="2:7" s="18" customFormat="1" x14ac:dyDescent="0.2">
      <c r="D70" s="20"/>
      <c r="G70" s="11"/>
    </row>
    <row r="71" spans="2:7" x14ac:dyDescent="0.2">
      <c r="D71" s="1"/>
    </row>
    <row r="72" spans="2:7" x14ac:dyDescent="0.2">
      <c r="C72" s="69"/>
      <c r="D72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76622-7B36-49CF-9BC6-A092F85FF392}">
  <sheetPr>
    <tabColor indexed="13"/>
    <pageSetUpPr fitToPage="1"/>
  </sheetPr>
  <dimension ref="A1:G72"/>
  <sheetViews>
    <sheetView showGridLines="0" zoomScaleNormal="100" zoomScaleSheetLayoutView="100" workbookViewId="0">
      <selection activeCell="A4" sqref="A4:D4"/>
    </sheetView>
  </sheetViews>
  <sheetFormatPr defaultRowHeight="12.75" x14ac:dyDescent="0.2"/>
  <cols>
    <col min="1" max="1" width="11.7109375" style="37" customWidth="1"/>
    <col min="2" max="2" width="50.5703125" style="37" customWidth="1"/>
    <col min="3" max="3" width="23" style="37" bestFit="1" customWidth="1"/>
    <col min="4" max="4" width="21.5703125" style="37" customWidth="1"/>
    <col min="5" max="5" width="17.7109375" style="37" bestFit="1" customWidth="1"/>
    <col min="6" max="6" width="17.42578125" style="37" bestFit="1" customWidth="1"/>
    <col min="7" max="7" width="17.7109375" style="38" bestFit="1" customWidth="1"/>
    <col min="8" max="16384" width="9.140625" style="37"/>
  </cols>
  <sheetData>
    <row r="1" spans="1:5" ht="20.25" x14ac:dyDescent="0.3">
      <c r="A1" s="72" t="s">
        <v>1</v>
      </c>
      <c r="B1" s="72"/>
      <c r="C1" s="72"/>
      <c r="D1" s="72"/>
    </row>
    <row r="2" spans="1:5" ht="20.25" x14ac:dyDescent="0.3">
      <c r="A2" s="72" t="s">
        <v>3</v>
      </c>
      <c r="B2" s="72"/>
      <c r="C2" s="72"/>
      <c r="D2" s="72"/>
    </row>
    <row r="3" spans="1:5" ht="26.25" customHeight="1" x14ac:dyDescent="0.3">
      <c r="A3" s="72" t="s">
        <v>4</v>
      </c>
      <c r="B3" s="72"/>
      <c r="C3" s="72"/>
      <c r="D3" s="72"/>
    </row>
    <row r="4" spans="1:5" ht="20.25" x14ac:dyDescent="0.3">
      <c r="A4" s="72" t="s">
        <v>68</v>
      </c>
      <c r="B4" s="72"/>
      <c r="C4" s="72"/>
      <c r="D4" s="72"/>
    </row>
    <row r="5" spans="1:5" ht="15.75" x14ac:dyDescent="0.25">
      <c r="A5" s="49" t="s">
        <v>5</v>
      </c>
    </row>
    <row r="7" spans="1:5" ht="15" x14ac:dyDescent="0.25">
      <c r="B7" s="59" t="s">
        <v>6</v>
      </c>
      <c r="C7" s="38"/>
      <c r="E7" s="38"/>
    </row>
    <row r="8" spans="1:5" ht="14.25" x14ac:dyDescent="0.2">
      <c r="B8" s="68" t="s">
        <v>7</v>
      </c>
      <c r="C8" s="38">
        <v>147888530.31999999</v>
      </c>
      <c r="D8" s="67" t="s">
        <v>8</v>
      </c>
      <c r="E8" s="38"/>
    </row>
    <row r="9" spans="1:5" ht="14.25" x14ac:dyDescent="0.2">
      <c r="B9" s="68" t="s">
        <v>48</v>
      </c>
      <c r="C9" s="38">
        <v>93796.25</v>
      </c>
      <c r="D9" s="67"/>
      <c r="E9" s="38"/>
    </row>
    <row r="10" spans="1:5" ht="14.25" x14ac:dyDescent="0.2">
      <c r="B10" s="68" t="s">
        <v>49</v>
      </c>
      <c r="C10" s="38">
        <v>6411173.7400000002</v>
      </c>
      <c r="D10" s="67"/>
      <c r="E10" s="38"/>
    </row>
    <row r="11" spans="1:5" x14ac:dyDescent="0.2">
      <c r="B11" s="37" t="s">
        <v>9</v>
      </c>
      <c r="C11" s="38">
        <v>47113753.369999997</v>
      </c>
      <c r="E11" s="38"/>
    </row>
    <row r="12" spans="1:5" x14ac:dyDescent="0.2">
      <c r="B12" s="56" t="s">
        <v>46</v>
      </c>
      <c r="C12" s="38">
        <v>92374.01</v>
      </c>
      <c r="E12" s="38"/>
    </row>
    <row r="13" spans="1:5" x14ac:dyDescent="0.2">
      <c r="B13" s="37" t="s">
        <v>10</v>
      </c>
      <c r="C13" s="38">
        <v>3619700.8</v>
      </c>
      <c r="E13" s="38"/>
    </row>
    <row r="14" spans="1:5" x14ac:dyDescent="0.2">
      <c r="B14" s="37" t="s">
        <v>50</v>
      </c>
      <c r="C14" s="38">
        <v>30125228.52</v>
      </c>
    </row>
    <row r="15" spans="1:5" x14ac:dyDescent="0.2">
      <c r="B15" s="37" t="s">
        <v>58</v>
      </c>
      <c r="C15" s="38">
        <v>643645.93999999994</v>
      </c>
    </row>
    <row r="16" spans="1:5" x14ac:dyDescent="0.2">
      <c r="B16" s="37" t="s">
        <v>11</v>
      </c>
      <c r="C16" s="38">
        <v>1188008.94</v>
      </c>
    </row>
    <row r="17" spans="2:6" x14ac:dyDescent="0.2">
      <c r="B17" s="37" t="s">
        <v>57</v>
      </c>
      <c r="C17" s="38">
        <v>341166.01</v>
      </c>
      <c r="D17" s="66"/>
    </row>
    <row r="18" spans="2:6" x14ac:dyDescent="0.2">
      <c r="B18" s="37" t="s">
        <v>12</v>
      </c>
      <c r="C18" s="38">
        <v>141044.91</v>
      </c>
      <c r="D18" s="66"/>
    </row>
    <row r="19" spans="2:6" x14ac:dyDescent="0.2">
      <c r="B19" s="37" t="s">
        <v>42</v>
      </c>
      <c r="C19" s="38">
        <v>261031.32</v>
      </c>
      <c r="D19" s="66"/>
      <c r="E19" s="38"/>
    </row>
    <row r="20" spans="2:6" x14ac:dyDescent="0.2">
      <c r="B20" s="37" t="s">
        <v>41</v>
      </c>
      <c r="C20" s="38">
        <v>480176.01</v>
      </c>
      <c r="D20" s="66"/>
      <c r="E20" s="38"/>
    </row>
    <row r="21" spans="2:6" x14ac:dyDescent="0.2">
      <c r="C21" s="38"/>
      <c r="D21" s="66"/>
      <c r="E21" s="38"/>
    </row>
    <row r="22" spans="2:6" x14ac:dyDescent="0.2">
      <c r="C22" s="38"/>
      <c r="D22" s="60">
        <f>SUM(C8:C21)</f>
        <v>238399630.13999999</v>
      </c>
      <c r="E22" s="38"/>
    </row>
    <row r="23" spans="2:6" x14ac:dyDescent="0.2">
      <c r="B23" s="65" t="s">
        <v>13</v>
      </c>
      <c r="C23" s="38"/>
      <c r="E23" s="38"/>
    </row>
    <row r="24" spans="2:6" x14ac:dyDescent="0.2">
      <c r="B24" s="37" t="s">
        <v>14</v>
      </c>
      <c r="C24" s="38">
        <v>2857733.78</v>
      </c>
      <c r="D24" s="64"/>
      <c r="E24" s="38"/>
      <c r="F24" s="38"/>
    </row>
    <row r="25" spans="2:6" x14ac:dyDescent="0.2">
      <c r="B25" s="37" t="s">
        <v>15</v>
      </c>
      <c r="C25" s="38">
        <v>1920971.64</v>
      </c>
      <c r="D25" s="56"/>
      <c r="E25" s="38"/>
      <c r="F25" s="38"/>
    </row>
    <row r="26" spans="2:6" x14ac:dyDescent="0.2">
      <c r="D26" s="63">
        <f>SUM(C24:C25)</f>
        <v>4778705.42</v>
      </c>
      <c r="E26" s="38"/>
      <c r="F26" s="38"/>
    </row>
    <row r="27" spans="2:6" ht="15" x14ac:dyDescent="0.25">
      <c r="B27" s="59" t="s">
        <v>16</v>
      </c>
      <c r="C27" s="38"/>
      <c r="E27" s="38"/>
      <c r="F27" s="38"/>
    </row>
    <row r="28" spans="2:6" x14ac:dyDescent="0.2">
      <c r="B28" s="37" t="s">
        <v>17</v>
      </c>
      <c r="C28" s="55">
        <v>54540311.149999999</v>
      </c>
      <c r="D28" s="39"/>
      <c r="E28" s="38"/>
      <c r="F28" s="38"/>
    </row>
    <row r="29" spans="2:6" x14ac:dyDescent="0.2">
      <c r="B29" s="37" t="s">
        <v>18</v>
      </c>
      <c r="C29" s="55">
        <v>863200608.03999996</v>
      </c>
      <c r="D29" s="39"/>
      <c r="E29" s="38"/>
      <c r="F29" s="38"/>
    </row>
    <row r="30" spans="2:6" x14ac:dyDescent="0.2">
      <c r="B30" s="61" t="s">
        <v>19</v>
      </c>
      <c r="C30" s="55">
        <f>274887923.86-6.6-2027.95</f>
        <v>274885889.31</v>
      </c>
      <c r="D30" s="39"/>
      <c r="E30" s="38"/>
      <c r="F30" s="38"/>
    </row>
    <row r="31" spans="2:6" x14ac:dyDescent="0.2">
      <c r="B31" s="61" t="s">
        <v>20</v>
      </c>
      <c r="C31" s="55">
        <v>18918768.379999999</v>
      </c>
      <c r="E31" s="38"/>
      <c r="F31" s="38"/>
    </row>
    <row r="32" spans="2:6" x14ac:dyDescent="0.2">
      <c r="B32" s="61" t="s">
        <v>21</v>
      </c>
      <c r="C32" s="55">
        <v>59590150.880000003</v>
      </c>
      <c r="E32" s="38"/>
      <c r="F32" s="38"/>
    </row>
    <row r="33" spans="2:6" x14ac:dyDescent="0.2">
      <c r="B33" s="61"/>
      <c r="D33" s="60">
        <f>SUM(C28:C32)</f>
        <v>1271135727.7600002</v>
      </c>
      <c r="E33" s="38"/>
      <c r="F33" s="38"/>
    </row>
    <row r="34" spans="2:6" ht="35.25" customHeight="1" x14ac:dyDescent="0.25">
      <c r="B34" s="62" t="s">
        <v>22</v>
      </c>
      <c r="C34" s="38"/>
      <c r="E34" s="38"/>
      <c r="F34" s="38"/>
    </row>
    <row r="35" spans="2:6" x14ac:dyDescent="0.2">
      <c r="B35" s="61" t="s">
        <v>23</v>
      </c>
      <c r="C35" s="55">
        <v>0</v>
      </c>
      <c r="D35" s="37" t="s">
        <v>2</v>
      </c>
      <c r="E35" s="38"/>
      <c r="F35" s="38"/>
    </row>
    <row r="36" spans="2:6" x14ac:dyDescent="0.2">
      <c r="B36" s="61" t="s">
        <v>24</v>
      </c>
      <c r="C36" s="55">
        <v>2027.95</v>
      </c>
      <c r="E36" s="38"/>
      <c r="F36" s="38"/>
    </row>
    <row r="37" spans="2:6" x14ac:dyDescent="0.2">
      <c r="B37" s="61" t="s">
        <v>25</v>
      </c>
      <c r="C37" s="55">
        <f>11323436.03+517613.36</f>
        <v>11841049.389999999</v>
      </c>
      <c r="E37" s="38"/>
      <c r="F37" s="38"/>
    </row>
    <row r="38" spans="2:6" x14ac:dyDescent="0.2">
      <c r="B38" s="61" t="s">
        <v>45</v>
      </c>
      <c r="C38" s="55">
        <v>1286751.99</v>
      </c>
      <c r="E38" s="38"/>
      <c r="F38" s="38"/>
    </row>
    <row r="39" spans="2:6" x14ac:dyDescent="0.2">
      <c r="B39" s="61" t="s">
        <v>54</v>
      </c>
      <c r="C39" s="55">
        <v>11044.89</v>
      </c>
      <c r="E39" s="38"/>
      <c r="F39" s="38"/>
    </row>
    <row r="40" spans="2:6" x14ac:dyDescent="0.2">
      <c r="B40" s="61" t="s">
        <v>26</v>
      </c>
      <c r="C40" s="55">
        <v>6.6</v>
      </c>
      <c r="E40" s="38"/>
      <c r="F40" s="38"/>
    </row>
    <row r="41" spans="2:6" x14ac:dyDescent="0.2">
      <c r="C41" s="41"/>
      <c r="D41" s="60">
        <f>SUM(C35:C40)</f>
        <v>13140880.819999998</v>
      </c>
      <c r="E41" s="38"/>
      <c r="F41" s="38"/>
    </row>
    <row r="42" spans="2:6" ht="15" x14ac:dyDescent="0.25">
      <c r="B42" s="59" t="s">
        <v>27</v>
      </c>
      <c r="C42" s="38"/>
      <c r="E42" s="38"/>
      <c r="F42" s="38"/>
    </row>
    <row r="43" spans="2:6" x14ac:dyDescent="0.2">
      <c r="B43" s="37" t="s">
        <v>28</v>
      </c>
      <c r="C43" s="55">
        <f>5425946727.49+500000000+557243608.36+20000000+45740285.89</f>
        <v>6548930621.7399998</v>
      </c>
      <c r="D43" s="39"/>
      <c r="E43" s="38"/>
      <c r="F43" s="38"/>
    </row>
    <row r="44" spans="2:6" x14ac:dyDescent="0.2">
      <c r="B44" s="58" t="s">
        <v>51</v>
      </c>
      <c r="C44" s="57">
        <v>0</v>
      </c>
      <c r="D44" s="39"/>
      <c r="E44" s="38"/>
      <c r="F44" s="38"/>
    </row>
    <row r="45" spans="2:6" x14ac:dyDescent="0.2">
      <c r="B45" s="37" t="s">
        <v>43</v>
      </c>
      <c r="C45" s="55">
        <v>0</v>
      </c>
      <c r="D45" s="39"/>
      <c r="E45" s="38"/>
      <c r="F45" s="38"/>
    </row>
    <row r="46" spans="2:6" x14ac:dyDescent="0.2">
      <c r="B46" s="37" t="s">
        <v>24</v>
      </c>
      <c r="C46" s="55">
        <v>179969884.21000001</v>
      </c>
      <c r="E46" s="38"/>
      <c r="F46" s="38"/>
    </row>
    <row r="47" spans="2:6" x14ac:dyDescent="0.2">
      <c r="B47" s="37" t="s">
        <v>0</v>
      </c>
      <c r="C47" s="55">
        <v>1038966697.39</v>
      </c>
      <c r="D47" s="54"/>
      <c r="E47" s="38"/>
      <c r="F47" s="38"/>
    </row>
    <row r="48" spans="2:6" x14ac:dyDescent="0.2">
      <c r="B48" s="56" t="s">
        <v>44</v>
      </c>
      <c r="C48" s="55">
        <v>48241942.420000002</v>
      </c>
      <c r="D48" s="54"/>
      <c r="F48" s="38"/>
    </row>
    <row r="49" spans="1:7" x14ac:dyDescent="0.2">
      <c r="C49" s="39"/>
      <c r="D49" s="53">
        <f>SUM(C43:C48)</f>
        <v>7816109145.7600002</v>
      </c>
      <c r="E49" s="38"/>
      <c r="F49" s="38"/>
    </row>
    <row r="50" spans="1:7" x14ac:dyDescent="0.2">
      <c r="C50" s="38"/>
      <c r="D50" s="52"/>
      <c r="F50" s="38"/>
    </row>
    <row r="51" spans="1:7" ht="15.75" thickBot="1" x14ac:dyDescent="0.3">
      <c r="B51" s="51" t="s">
        <v>29</v>
      </c>
      <c r="D51" s="50">
        <f>SUM(D17:D49)</f>
        <v>9343564089.8999996</v>
      </c>
      <c r="E51" s="38"/>
      <c r="F51" s="38"/>
    </row>
    <row r="52" spans="1:7" ht="16.5" thickTop="1" x14ac:dyDescent="0.25">
      <c r="A52" s="49" t="s">
        <v>30</v>
      </c>
      <c r="C52" s="39"/>
      <c r="D52" s="42"/>
      <c r="E52" s="39"/>
      <c r="F52" s="38"/>
    </row>
    <row r="53" spans="1:7" s="40" customFormat="1" x14ac:dyDescent="0.2">
      <c r="D53" s="42"/>
      <c r="E53" s="41"/>
      <c r="F53" s="41"/>
      <c r="G53" s="41"/>
    </row>
    <row r="54" spans="1:7" s="40" customFormat="1" x14ac:dyDescent="0.2">
      <c r="B54" s="48" t="s">
        <v>31</v>
      </c>
      <c r="C54" s="41"/>
      <c r="F54" s="41"/>
      <c r="G54" s="41"/>
    </row>
    <row r="55" spans="1:7" s="40" customFormat="1" x14ac:dyDescent="0.2">
      <c r="B55" s="40" t="s">
        <v>40</v>
      </c>
      <c r="C55" s="41">
        <v>996833317.35000002</v>
      </c>
      <c r="F55" s="41"/>
      <c r="G55" s="41"/>
    </row>
    <row r="56" spans="1:7" s="40" customFormat="1" x14ac:dyDescent="0.2">
      <c r="B56" s="40" t="s">
        <v>32</v>
      </c>
      <c r="C56" s="41">
        <v>6773373.3700000001</v>
      </c>
      <c r="D56" s="42"/>
      <c r="F56" s="41"/>
      <c r="G56" s="41"/>
    </row>
    <row r="57" spans="1:7" s="40" customFormat="1" x14ac:dyDescent="0.2">
      <c r="B57" s="45" t="s">
        <v>33</v>
      </c>
      <c r="C57" s="41">
        <v>983630.12</v>
      </c>
      <c r="D57" s="47"/>
      <c r="E57" s="42"/>
      <c r="F57" s="41"/>
      <c r="G57" s="41"/>
    </row>
    <row r="58" spans="1:7" s="40" customFormat="1" x14ac:dyDescent="0.2">
      <c r="B58" s="45" t="s">
        <v>34</v>
      </c>
      <c r="C58" s="41">
        <v>7210409055.2700005</v>
      </c>
      <c r="D58" s="41"/>
      <c r="F58" s="41"/>
      <c r="G58" s="41"/>
    </row>
    <row r="59" spans="1:7" s="40" customFormat="1" x14ac:dyDescent="0.2">
      <c r="B59" s="45" t="s">
        <v>35</v>
      </c>
      <c r="C59" s="41">
        <v>1040325115.21</v>
      </c>
      <c r="D59" s="41"/>
      <c r="E59" s="42"/>
      <c r="F59" s="46"/>
      <c r="G59" s="41"/>
    </row>
    <row r="60" spans="1:7" s="40" customFormat="1" x14ac:dyDescent="0.2">
      <c r="B60" s="45" t="s">
        <v>36</v>
      </c>
      <c r="C60" s="41">
        <v>30521700.02</v>
      </c>
      <c r="F60" s="41"/>
      <c r="G60" s="41"/>
    </row>
    <row r="61" spans="1:7" s="40" customFormat="1" x14ac:dyDescent="0.2">
      <c r="B61" s="45" t="s">
        <v>37</v>
      </c>
      <c r="C61" s="41">
        <v>6761201.9500000002</v>
      </c>
      <c r="D61" s="42"/>
      <c r="E61" s="42"/>
      <c r="F61" s="41"/>
      <c r="G61" s="41"/>
    </row>
    <row r="62" spans="1:7" s="40" customFormat="1" x14ac:dyDescent="0.2">
      <c r="B62" s="45" t="s">
        <v>38</v>
      </c>
      <c r="C62" s="41">
        <f>935039.49+481917.82</f>
        <v>1416957.31</v>
      </c>
      <c r="F62" s="41"/>
      <c r="G62" s="41"/>
    </row>
    <row r="63" spans="1:7" s="40" customFormat="1" x14ac:dyDescent="0.2">
      <c r="B63" s="45" t="s">
        <v>47</v>
      </c>
      <c r="C63" s="41">
        <v>39328694.409999996</v>
      </c>
      <c r="F63" s="41"/>
      <c r="G63" s="41"/>
    </row>
    <row r="64" spans="1:7" s="40" customFormat="1" x14ac:dyDescent="0.2">
      <c r="B64" s="45" t="s">
        <v>55</v>
      </c>
      <c r="C64" s="41">
        <v>11044.89</v>
      </c>
      <c r="F64" s="41"/>
      <c r="G64" s="41"/>
    </row>
    <row r="65" spans="2:7" s="40" customFormat="1" x14ac:dyDescent="0.2">
      <c r="B65" s="45" t="s">
        <v>52</v>
      </c>
      <c r="C65" s="41">
        <f>7650000+2550000</f>
        <v>10200000</v>
      </c>
      <c r="F65" s="41"/>
      <c r="G65" s="41"/>
    </row>
    <row r="66" spans="2:7" s="40" customFormat="1" ht="16.5" customHeight="1" thickBot="1" x14ac:dyDescent="0.25">
      <c r="B66" s="44" t="s">
        <v>39</v>
      </c>
      <c r="D66" s="43">
        <f>SUM(C55:C65)</f>
        <v>9343564089.8999996</v>
      </c>
      <c r="E66" s="42"/>
      <c r="F66" s="41"/>
      <c r="G66" s="41"/>
    </row>
    <row r="67" spans="2:7" s="40" customFormat="1" ht="13.5" thickTop="1" x14ac:dyDescent="0.2">
      <c r="C67" s="42"/>
      <c r="D67" s="42"/>
      <c r="F67" s="41"/>
      <c r="G67" s="41"/>
    </row>
    <row r="68" spans="2:7" s="40" customFormat="1" x14ac:dyDescent="0.2">
      <c r="C68" s="42"/>
      <c r="D68" s="42"/>
      <c r="F68" s="42"/>
      <c r="G68" s="41"/>
    </row>
    <row r="69" spans="2:7" s="40" customFormat="1" x14ac:dyDescent="0.2">
      <c r="C69" s="42"/>
      <c r="D69" s="42"/>
      <c r="G69" s="41"/>
    </row>
    <row r="70" spans="2:7" s="40" customFormat="1" x14ac:dyDescent="0.2">
      <c r="D70" s="42"/>
      <c r="G70" s="41"/>
    </row>
    <row r="71" spans="2:7" x14ac:dyDescent="0.2">
      <c r="D71" s="39"/>
    </row>
    <row r="72" spans="2:7" x14ac:dyDescent="0.2">
      <c r="C72" s="70"/>
      <c r="D72" s="39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2D49-8AEF-4FAA-ABD4-C8CC8EBCB073}">
  <sheetPr>
    <tabColor indexed="13"/>
    <pageSetUpPr fitToPage="1"/>
  </sheetPr>
  <dimension ref="A1:G73"/>
  <sheetViews>
    <sheetView showGridLines="0" zoomScale="120" zoomScaleNormal="120" zoomScaleSheetLayoutView="100" workbookViewId="0">
      <selection activeCell="A67" sqref="A67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70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44609958.289999999</v>
      </c>
      <c r="D8" s="6" t="s">
        <v>8</v>
      </c>
      <c r="E8" s="4"/>
    </row>
    <row r="9" spans="1:5" ht="14.25" x14ac:dyDescent="0.2">
      <c r="B9" s="5" t="s">
        <v>48</v>
      </c>
      <c r="C9" s="4">
        <v>7011476.1100000003</v>
      </c>
      <c r="D9" s="6"/>
      <c r="E9" s="4"/>
    </row>
    <row r="10" spans="1:5" ht="14.25" x14ac:dyDescent="0.2">
      <c r="B10" s="5" t="s">
        <v>49</v>
      </c>
      <c r="C10" s="4">
        <v>0</v>
      </c>
      <c r="D10" s="6"/>
      <c r="E10" s="4"/>
    </row>
    <row r="11" spans="1:5" x14ac:dyDescent="0.2">
      <c r="B11" t="s">
        <v>9</v>
      </c>
      <c r="C11" s="4">
        <v>14798204.82</v>
      </c>
      <c r="E11" s="4"/>
    </row>
    <row r="12" spans="1:5" x14ac:dyDescent="0.2">
      <c r="B12" s="27" t="s">
        <v>46</v>
      </c>
      <c r="C12" s="4">
        <v>0</v>
      </c>
      <c r="E12" s="4"/>
    </row>
    <row r="13" spans="1:5" x14ac:dyDescent="0.2">
      <c r="B13" t="s">
        <v>10</v>
      </c>
      <c r="C13" s="4">
        <v>3478664.01</v>
      </c>
      <c r="E13" s="4"/>
    </row>
    <row r="14" spans="1:5" x14ac:dyDescent="0.2">
      <c r="B14" t="s">
        <v>50</v>
      </c>
      <c r="C14" s="4">
        <v>88239289.519999996</v>
      </c>
    </row>
    <row r="15" spans="1:5" x14ac:dyDescent="0.2">
      <c r="B15" t="s">
        <v>58</v>
      </c>
      <c r="C15" s="4">
        <v>208160.61</v>
      </c>
    </row>
    <row r="16" spans="1:5" x14ac:dyDescent="0.2">
      <c r="B16" t="s">
        <v>11</v>
      </c>
      <c r="C16" s="4">
        <v>1214968.01</v>
      </c>
    </row>
    <row r="17" spans="2:6" x14ac:dyDescent="0.2">
      <c r="B17" t="s">
        <v>57</v>
      </c>
      <c r="C17" s="4">
        <v>181646.65</v>
      </c>
      <c r="D17" s="7"/>
    </row>
    <row r="18" spans="2:6" x14ac:dyDescent="0.2">
      <c r="B18" t="s">
        <v>12</v>
      </c>
      <c r="C18" s="4">
        <v>524555.31000000006</v>
      </c>
      <c r="D18" s="7"/>
    </row>
    <row r="19" spans="2:6" x14ac:dyDescent="0.2">
      <c r="B19" t="s">
        <v>42</v>
      </c>
      <c r="C19" s="4">
        <v>143401.21</v>
      </c>
      <c r="D19" s="7"/>
      <c r="E19" s="4"/>
    </row>
    <row r="20" spans="2:6" x14ac:dyDescent="0.2">
      <c r="B20" t="s">
        <v>41</v>
      </c>
      <c r="C20" s="4">
        <v>289815.77</v>
      </c>
      <c r="D20" s="7"/>
      <c r="E20" s="4"/>
    </row>
    <row r="21" spans="2:6" x14ac:dyDescent="0.2">
      <c r="C21" s="4"/>
      <c r="D21" s="7"/>
      <c r="E21" s="4"/>
    </row>
    <row r="22" spans="2:6" x14ac:dyDescent="0.2">
      <c r="C22" s="4"/>
      <c r="D22" s="12">
        <f>SUM(C8:C21)</f>
        <v>160700140.31000003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2669448.2599999998</v>
      </c>
      <c r="D24" s="36"/>
      <c r="E24" s="4"/>
      <c r="F24" s="4"/>
    </row>
    <row r="25" spans="2:6" x14ac:dyDescent="0.2">
      <c r="B25" t="s">
        <v>15</v>
      </c>
      <c r="C25" s="4">
        <v>526971.30000000005</v>
      </c>
      <c r="D25" s="27"/>
      <c r="E25" s="4"/>
      <c r="F25" s="4"/>
    </row>
    <row r="26" spans="2:6" x14ac:dyDescent="0.2">
      <c r="D26" s="8">
        <f>SUM(C24:C25)</f>
        <v>3196419.5599999996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216085372.77000001</v>
      </c>
      <c r="D28" s="1"/>
      <c r="E28" s="4"/>
      <c r="F28" s="4"/>
    </row>
    <row r="29" spans="2:6" x14ac:dyDescent="0.2">
      <c r="B29" t="s">
        <v>18</v>
      </c>
      <c r="C29" s="30">
        <v>876800275.64999998</v>
      </c>
      <c r="D29" s="1"/>
      <c r="E29" s="4"/>
      <c r="F29" s="4"/>
    </row>
    <row r="30" spans="2:6" x14ac:dyDescent="0.2">
      <c r="B30" s="31" t="s">
        <v>19</v>
      </c>
      <c r="C30" s="30">
        <f>294896838.67-6.6-617.77-14251447.09</f>
        <v>280644767.21000004</v>
      </c>
      <c r="D30" s="1"/>
      <c r="E30" s="4"/>
      <c r="F30" s="4"/>
    </row>
    <row r="31" spans="2:6" x14ac:dyDescent="0.2">
      <c r="B31" s="31" t="s">
        <v>20</v>
      </c>
      <c r="C31" s="30">
        <v>32124760.600000001</v>
      </c>
      <c r="E31" s="4"/>
      <c r="F31" s="4"/>
    </row>
    <row r="32" spans="2:6" x14ac:dyDescent="0.2">
      <c r="B32" s="31" t="s">
        <v>21</v>
      </c>
      <c r="C32" s="30">
        <v>226381565.56999999</v>
      </c>
      <c r="E32" s="4"/>
      <c r="F32" s="4"/>
    </row>
    <row r="33" spans="2:6" x14ac:dyDescent="0.2">
      <c r="B33" s="31"/>
      <c r="D33" s="12">
        <f>SUM(C28:C32)</f>
        <v>1632036741.8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617.77</v>
      </c>
      <c r="E36" s="4"/>
      <c r="F36" s="4"/>
    </row>
    <row r="37" spans="2:6" x14ac:dyDescent="0.2">
      <c r="B37" s="31" t="s">
        <v>69</v>
      </c>
      <c r="C37" s="30">
        <v>14251447.09</v>
      </c>
      <c r="E37" s="4"/>
      <c r="F37" s="4"/>
    </row>
    <row r="38" spans="2:6" x14ac:dyDescent="0.2">
      <c r="B38" s="31" t="s">
        <v>25</v>
      </c>
      <c r="C38" s="30">
        <f>11933237.8+517613.36</f>
        <v>12450851.16</v>
      </c>
      <c r="E38" s="4"/>
      <c r="F38" s="4"/>
    </row>
    <row r="39" spans="2:6" x14ac:dyDescent="0.2">
      <c r="B39" s="31" t="s">
        <v>45</v>
      </c>
      <c r="C39" s="30">
        <v>1543672.68</v>
      </c>
      <c r="E39" s="4"/>
      <c r="F39" s="4"/>
    </row>
    <row r="40" spans="2:6" x14ac:dyDescent="0.2">
      <c r="B40" s="31" t="s">
        <v>54</v>
      </c>
      <c r="C40" s="30">
        <v>11044.89</v>
      </c>
      <c r="E40" s="4"/>
      <c r="F40" s="4"/>
    </row>
    <row r="41" spans="2:6" x14ac:dyDescent="0.2">
      <c r="B41" s="31" t="s">
        <v>26</v>
      </c>
      <c r="C41" s="30">
        <v>6.6</v>
      </c>
      <c r="E41" s="4"/>
      <c r="F41" s="4"/>
    </row>
    <row r="42" spans="2:6" x14ac:dyDescent="0.2">
      <c r="C42" s="11"/>
      <c r="D42" s="12">
        <f>SUM(C35:C41)</f>
        <v>28257640.190000001</v>
      </c>
      <c r="E42" s="4"/>
      <c r="F42" s="4"/>
    </row>
    <row r="43" spans="2:6" ht="15" x14ac:dyDescent="0.25">
      <c r="B43" s="2" t="s">
        <v>27</v>
      </c>
      <c r="C43" s="4"/>
      <c r="E43" s="4"/>
      <c r="F43" s="4"/>
    </row>
    <row r="44" spans="2:6" x14ac:dyDescent="0.2">
      <c r="B44" t="s">
        <v>28</v>
      </c>
      <c r="C44" s="30">
        <f>5242656727.49+500000000+509657955.9+20000000+45740285.89</f>
        <v>6318054969.2799997</v>
      </c>
      <c r="D44" s="1"/>
      <c r="E44" s="4"/>
      <c r="F44" s="4"/>
    </row>
    <row r="45" spans="2:6" x14ac:dyDescent="0.2">
      <c r="B45" s="33" t="s">
        <v>51</v>
      </c>
      <c r="C45" s="34">
        <v>0</v>
      </c>
      <c r="D45" s="1"/>
      <c r="E45" s="4"/>
      <c r="F45" s="4"/>
    </row>
    <row r="46" spans="2:6" x14ac:dyDescent="0.2">
      <c r="B46" t="s">
        <v>43</v>
      </c>
      <c r="C46" s="30">
        <v>0</v>
      </c>
      <c r="D46" s="1"/>
      <c r="E46" s="4"/>
      <c r="F46" s="4"/>
    </row>
    <row r="47" spans="2:6" x14ac:dyDescent="0.2">
      <c r="B47" t="s">
        <v>24</v>
      </c>
      <c r="C47" s="30">
        <v>185804077.66</v>
      </c>
      <c r="E47" s="4"/>
      <c r="F47" s="4"/>
    </row>
    <row r="48" spans="2:6" x14ac:dyDescent="0.2">
      <c r="B48" t="s">
        <v>0</v>
      </c>
      <c r="C48" s="30">
        <v>1043960877.53</v>
      </c>
      <c r="D48" s="13"/>
      <c r="E48" s="4"/>
      <c r="F48" s="4"/>
    </row>
    <row r="49" spans="1:7" x14ac:dyDescent="0.2">
      <c r="B49" s="27" t="s">
        <v>44</v>
      </c>
      <c r="C49" s="30">
        <v>48648546.729999997</v>
      </c>
      <c r="D49" s="13"/>
      <c r="F49" s="4"/>
    </row>
    <row r="50" spans="1:7" x14ac:dyDescent="0.2">
      <c r="C50" s="1"/>
      <c r="D50" s="14">
        <f>SUM(C44:C49)</f>
        <v>7596468471.1999989</v>
      </c>
      <c r="E50" s="4"/>
      <c r="F50" s="4"/>
    </row>
    <row r="51" spans="1:7" x14ac:dyDescent="0.2">
      <c r="C51" s="4"/>
      <c r="D51" s="15"/>
      <c r="F51" s="4"/>
    </row>
    <row r="52" spans="1:7" ht="15.75" thickBot="1" x14ac:dyDescent="0.3">
      <c r="B52" s="16" t="s">
        <v>29</v>
      </c>
      <c r="D52" s="17">
        <f>SUM(D17:D50)</f>
        <v>9420659413.0599995</v>
      </c>
      <c r="E52" s="4"/>
      <c r="F52" s="4"/>
    </row>
    <row r="53" spans="1:7" ht="16.5" thickTop="1" x14ac:dyDescent="0.25">
      <c r="A53" s="3" t="s">
        <v>30</v>
      </c>
      <c r="C53" s="1"/>
      <c r="D53" s="20"/>
      <c r="E53" s="1"/>
      <c r="F53" s="4"/>
    </row>
    <row r="54" spans="1:7" s="18" customFormat="1" x14ac:dyDescent="0.2">
      <c r="D54" s="20"/>
      <c r="E54" s="11"/>
      <c r="F54" s="11"/>
      <c r="G54" s="11"/>
    </row>
    <row r="55" spans="1:7" s="18" customFormat="1" x14ac:dyDescent="0.2">
      <c r="B55" s="21" t="s">
        <v>31</v>
      </c>
      <c r="C55" s="11"/>
      <c r="F55" s="11"/>
      <c r="G55" s="11"/>
    </row>
    <row r="56" spans="1:7" s="18" customFormat="1" x14ac:dyDescent="0.2">
      <c r="B56" s="18" t="s">
        <v>40</v>
      </c>
      <c r="C56" s="11">
        <v>1050395006.01</v>
      </c>
      <c r="F56" s="11"/>
      <c r="G56" s="11"/>
    </row>
    <row r="57" spans="1:7" s="18" customFormat="1" x14ac:dyDescent="0.2">
      <c r="B57" s="18" t="s">
        <v>32</v>
      </c>
      <c r="C57" s="11">
        <v>8416773.7799999993</v>
      </c>
      <c r="D57" s="20"/>
      <c r="F57" s="11"/>
      <c r="G57" s="11"/>
    </row>
    <row r="58" spans="1:7" s="18" customFormat="1" x14ac:dyDescent="0.2">
      <c r="B58" s="29" t="s">
        <v>33</v>
      </c>
      <c r="C58" s="11">
        <v>1275178.1299999999</v>
      </c>
      <c r="D58" s="25"/>
      <c r="E58" s="20"/>
      <c r="F58" s="11"/>
      <c r="G58" s="11"/>
    </row>
    <row r="59" spans="1:7" s="18" customFormat="1" x14ac:dyDescent="0.2">
      <c r="B59" s="29" t="s">
        <v>34</v>
      </c>
      <c r="C59" s="11">
        <v>7206833751.75</v>
      </c>
      <c r="D59" s="11"/>
      <c r="F59" s="11"/>
      <c r="G59" s="11"/>
    </row>
    <row r="60" spans="1:7" s="18" customFormat="1" x14ac:dyDescent="0.2">
      <c r="B60" s="29" t="s">
        <v>35</v>
      </c>
      <c r="C60" s="11">
        <v>1046161736.72</v>
      </c>
      <c r="D60" s="11"/>
      <c r="E60" s="20"/>
      <c r="F60" s="26"/>
      <c r="G60" s="11"/>
    </row>
    <row r="61" spans="1:7" s="18" customFormat="1" x14ac:dyDescent="0.2">
      <c r="B61" s="29" t="s">
        <v>36</v>
      </c>
      <c r="C61" s="11">
        <v>47189909.509999998</v>
      </c>
      <c r="F61" s="11"/>
      <c r="G61" s="11"/>
    </row>
    <row r="62" spans="1:7" s="18" customFormat="1" x14ac:dyDescent="0.2">
      <c r="B62" s="29" t="s">
        <v>37</v>
      </c>
      <c r="C62" s="11">
        <v>8356384.25</v>
      </c>
      <c r="D62" s="20"/>
      <c r="E62" s="20"/>
      <c r="F62" s="11"/>
      <c r="G62" s="11"/>
    </row>
    <row r="63" spans="1:7" s="18" customFormat="1" x14ac:dyDescent="0.2">
      <c r="B63" s="29" t="s">
        <v>38</v>
      </c>
      <c r="C63" s="11">
        <f>1195697.08+631711.53</f>
        <v>1827408.61</v>
      </c>
      <c r="F63" s="11"/>
      <c r="G63" s="11"/>
    </row>
    <row r="64" spans="1:7" s="18" customFormat="1" x14ac:dyDescent="0.2">
      <c r="B64" s="29" t="s">
        <v>47</v>
      </c>
      <c r="C64" s="11">
        <v>39392219.409999996</v>
      </c>
      <c r="F64" s="11"/>
      <c r="G64" s="11"/>
    </row>
    <row r="65" spans="2:7" s="18" customFormat="1" x14ac:dyDescent="0.2">
      <c r="B65" s="29" t="s">
        <v>55</v>
      </c>
      <c r="C65" s="11">
        <v>11044.89</v>
      </c>
      <c r="F65" s="11"/>
      <c r="G65" s="11"/>
    </row>
    <row r="66" spans="2:7" s="18" customFormat="1" x14ac:dyDescent="0.2">
      <c r="B66" s="29" t="s">
        <v>52</v>
      </c>
      <c r="C66" s="11">
        <f>8100000+2700000</f>
        <v>10800000</v>
      </c>
      <c r="F66" s="11"/>
      <c r="G66" s="11"/>
    </row>
    <row r="67" spans="2:7" s="18" customFormat="1" ht="16.5" customHeight="1" thickBot="1" x14ac:dyDescent="0.25">
      <c r="B67" s="23" t="s">
        <v>39</v>
      </c>
      <c r="D67" s="24">
        <f>SUM(C56:C66)</f>
        <v>9420659413.0599995</v>
      </c>
      <c r="E67" s="20"/>
      <c r="F67" s="11"/>
      <c r="G67" s="11"/>
    </row>
    <row r="68" spans="2:7" s="18" customFormat="1" ht="13.5" thickTop="1" x14ac:dyDescent="0.2">
      <c r="C68" s="20"/>
      <c r="D68" s="20"/>
      <c r="F68" s="11"/>
      <c r="G68" s="11"/>
    </row>
    <row r="69" spans="2:7" s="18" customFormat="1" x14ac:dyDescent="0.2">
      <c r="C69" s="20"/>
      <c r="D69" s="20"/>
      <c r="F69" s="20"/>
      <c r="G69" s="11"/>
    </row>
    <row r="70" spans="2:7" s="18" customFormat="1" x14ac:dyDescent="0.2">
      <c r="C70" s="20"/>
      <c r="D70" s="20"/>
      <c r="G70" s="11"/>
    </row>
    <row r="71" spans="2:7" s="18" customFormat="1" x14ac:dyDescent="0.2">
      <c r="D71" s="20"/>
      <c r="G71" s="11"/>
    </row>
    <row r="72" spans="2:7" x14ac:dyDescent="0.2">
      <c r="D72" s="1"/>
    </row>
    <row r="73" spans="2:7" x14ac:dyDescent="0.2">
      <c r="C73" s="69"/>
      <c r="D73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76FB-8377-4A51-8D75-35058AE41022}">
  <sheetPr>
    <tabColor indexed="13"/>
    <pageSetUpPr fitToPage="1"/>
  </sheetPr>
  <dimension ref="A1:G72"/>
  <sheetViews>
    <sheetView zoomScale="160" zoomScaleNormal="160" zoomScaleSheetLayoutView="100" workbookViewId="0">
      <selection activeCell="C8" sqref="C8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59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83376537.549999997</v>
      </c>
      <c r="D8" s="6" t="s">
        <v>8</v>
      </c>
      <c r="E8" s="4"/>
    </row>
    <row r="9" spans="1:5" ht="14.25" x14ac:dyDescent="0.2">
      <c r="B9" s="5" t="s">
        <v>48</v>
      </c>
      <c r="C9" s="4">
        <v>51290.34</v>
      </c>
      <c r="D9" s="6"/>
      <c r="E9" s="4"/>
    </row>
    <row r="10" spans="1:5" ht="14.25" x14ac:dyDescent="0.2">
      <c r="B10" s="5" t="s">
        <v>49</v>
      </c>
      <c r="C10" s="4">
        <v>0</v>
      </c>
      <c r="D10" s="6"/>
      <c r="E10" s="4"/>
    </row>
    <row r="11" spans="1:5" x14ac:dyDescent="0.2">
      <c r="B11" t="s">
        <v>9</v>
      </c>
      <c r="C11" s="4">
        <v>70253646.709999993</v>
      </c>
      <c r="E11" s="4"/>
    </row>
    <row r="12" spans="1:5" x14ac:dyDescent="0.2">
      <c r="B12" s="27" t="s">
        <v>46</v>
      </c>
      <c r="C12" s="4">
        <v>190623.13</v>
      </c>
      <c r="E12" s="4"/>
    </row>
    <row r="13" spans="1:5" x14ac:dyDescent="0.2">
      <c r="B13" t="s">
        <v>10</v>
      </c>
      <c r="C13" s="4">
        <v>3850627.68</v>
      </c>
      <c r="E13" s="4"/>
    </row>
    <row r="14" spans="1:5" x14ac:dyDescent="0.2">
      <c r="B14" t="s">
        <v>50</v>
      </c>
      <c r="C14" s="4">
        <v>27697798.829999998</v>
      </c>
    </row>
    <row r="15" spans="1:5" x14ac:dyDescent="0.2">
      <c r="B15" t="s">
        <v>58</v>
      </c>
      <c r="C15" s="4">
        <v>0</v>
      </c>
    </row>
    <row r="16" spans="1:5" x14ac:dyDescent="0.2">
      <c r="B16" t="s">
        <v>11</v>
      </c>
      <c r="C16" s="4">
        <v>1956230.08</v>
      </c>
    </row>
    <row r="17" spans="2:6" x14ac:dyDescent="0.2">
      <c r="B17" t="s">
        <v>57</v>
      </c>
      <c r="C17" s="4">
        <v>2298.71</v>
      </c>
      <c r="D17" s="7"/>
    </row>
    <row r="18" spans="2:6" x14ac:dyDescent="0.2">
      <c r="B18" t="s">
        <v>12</v>
      </c>
      <c r="C18" s="4">
        <v>250244.61</v>
      </c>
      <c r="D18" s="7"/>
    </row>
    <row r="19" spans="2:6" x14ac:dyDescent="0.2">
      <c r="B19" t="s">
        <v>42</v>
      </c>
      <c r="C19" s="4">
        <v>386166.97</v>
      </c>
      <c r="D19" s="7"/>
      <c r="E19" s="4"/>
    </row>
    <row r="20" spans="2:6" x14ac:dyDescent="0.2">
      <c r="B20" t="s">
        <v>41</v>
      </c>
      <c r="C20" s="4">
        <v>208389.49</v>
      </c>
      <c r="D20" s="7"/>
      <c r="E20" s="4"/>
    </row>
    <row r="21" spans="2:6" x14ac:dyDescent="0.2">
      <c r="B21" t="s">
        <v>56</v>
      </c>
      <c r="C21" s="4">
        <v>0</v>
      </c>
      <c r="D21" s="7"/>
      <c r="E21" s="4"/>
    </row>
    <row r="22" spans="2:6" x14ac:dyDescent="0.2">
      <c r="C22" s="4"/>
      <c r="D22" s="4">
        <f>SUM(C8:C21)</f>
        <v>188223854.10000005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2181409.0699999998</v>
      </c>
      <c r="D24" s="36"/>
      <c r="E24" s="4"/>
      <c r="F24" s="4"/>
    </row>
    <row r="25" spans="2:6" x14ac:dyDescent="0.2">
      <c r="B25" t="s">
        <v>15</v>
      </c>
      <c r="C25" s="4">
        <v>736056.54</v>
      </c>
      <c r="D25" s="27"/>
      <c r="E25" s="4"/>
      <c r="F25" s="4"/>
    </row>
    <row r="26" spans="2:6" x14ac:dyDescent="0.2">
      <c r="D26" s="8">
        <f>SUM(C24:C25)</f>
        <v>2917465.61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58430752.710000001</v>
      </c>
      <c r="D28" s="1"/>
      <c r="E28" s="4"/>
      <c r="F28" s="4"/>
    </row>
    <row r="29" spans="2:6" x14ac:dyDescent="0.2">
      <c r="B29" t="s">
        <v>18</v>
      </c>
      <c r="C29" s="30">
        <v>744610783.00999999</v>
      </c>
      <c r="D29" s="1"/>
      <c r="E29" s="4"/>
      <c r="F29" s="4"/>
    </row>
    <row r="30" spans="2:6" x14ac:dyDescent="0.2">
      <c r="B30" s="31" t="s">
        <v>19</v>
      </c>
      <c r="C30" s="30">
        <f>195903217.4-6.6-6104347.33</f>
        <v>189798863.47</v>
      </c>
      <c r="D30" s="1"/>
      <c r="E30" s="4"/>
      <c r="F30" s="4"/>
    </row>
    <row r="31" spans="2:6" x14ac:dyDescent="0.2">
      <c r="B31" s="31" t="s">
        <v>20</v>
      </c>
      <c r="C31" s="30">
        <v>12032184.949999999</v>
      </c>
      <c r="E31" s="4"/>
      <c r="F31" s="4"/>
    </row>
    <row r="32" spans="2:6" x14ac:dyDescent="0.2">
      <c r="B32" s="31" t="s">
        <v>21</v>
      </c>
      <c r="C32" s="30">
        <v>59607263.560000002</v>
      </c>
      <c r="E32" s="4"/>
      <c r="F32" s="4"/>
    </row>
    <row r="33" spans="2:6" x14ac:dyDescent="0.2">
      <c r="B33" s="31"/>
      <c r="D33" s="12">
        <f>SUM(C28:C32)</f>
        <v>1064479847.7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6104347.3300000001</v>
      </c>
      <c r="E36" s="4"/>
      <c r="F36" s="4"/>
    </row>
    <row r="37" spans="2:6" x14ac:dyDescent="0.2">
      <c r="B37" s="31" t="s">
        <v>25</v>
      </c>
      <c r="C37" s="30">
        <f>11323436.03+35057759.97</f>
        <v>46381196</v>
      </c>
      <c r="E37" s="4"/>
      <c r="F37" s="4"/>
    </row>
    <row r="38" spans="2:6" x14ac:dyDescent="0.2">
      <c r="B38" s="31" t="s">
        <v>45</v>
      </c>
      <c r="C38" s="30">
        <v>1006335.06</v>
      </c>
      <c r="E38" s="4"/>
      <c r="F38" s="4"/>
    </row>
    <row r="39" spans="2:6" x14ac:dyDescent="0.2">
      <c r="B39" s="31" t="s">
        <v>54</v>
      </c>
      <c r="C39" s="30">
        <v>132916.24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53624801.230000004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3411775576.01+1703760000+1178382489.74+20000000+30000000</f>
        <v>6343918065.75</v>
      </c>
      <c r="D43" s="1"/>
      <c r="E43" s="4"/>
      <c r="F43" s="4"/>
    </row>
    <row r="44" spans="2:6" x14ac:dyDescent="0.2">
      <c r="B44" s="33" t="s">
        <v>51</v>
      </c>
      <c r="C44" s="34">
        <v>6345371.04</v>
      </c>
      <c r="D44" s="1"/>
      <c r="E44" s="4"/>
      <c r="F44" s="4"/>
    </row>
    <row r="45" spans="2:6" x14ac:dyDescent="0.2">
      <c r="B45" t="s">
        <v>43</v>
      </c>
      <c r="C45" s="30">
        <v>0</v>
      </c>
      <c r="D45" s="1"/>
      <c r="E45" s="4"/>
      <c r="F45" s="4"/>
    </row>
    <row r="46" spans="2:6" x14ac:dyDescent="0.2">
      <c r="B46" t="s">
        <v>24</v>
      </c>
      <c r="C46" s="30">
        <v>135559928.91</v>
      </c>
      <c r="E46" s="4"/>
      <c r="F46" s="4"/>
    </row>
    <row r="47" spans="2:6" x14ac:dyDescent="0.2">
      <c r="B47" t="s">
        <v>0</v>
      </c>
      <c r="C47" s="30">
        <v>881607441.32000005</v>
      </c>
      <c r="D47" s="13"/>
      <c r="E47" s="4"/>
      <c r="F47" s="4"/>
    </row>
    <row r="48" spans="2:6" x14ac:dyDescent="0.2">
      <c r="B48" s="27" t="s">
        <v>44</v>
      </c>
      <c r="C48" s="30">
        <v>43337815.5</v>
      </c>
      <c r="D48" s="13"/>
      <c r="F48" s="4"/>
    </row>
    <row r="49" spans="1:7" x14ac:dyDescent="0.2">
      <c r="C49" s="1"/>
      <c r="D49" s="14">
        <f>SUM(C43:C48)</f>
        <v>7410768622.5199995</v>
      </c>
      <c r="E49" s="4"/>
      <c r="F49" s="4"/>
    </row>
    <row r="50" spans="1:7" x14ac:dyDescent="0.2">
      <c r="C50" s="4"/>
      <c r="D50" s="15"/>
      <c r="F50" s="4"/>
    </row>
    <row r="51" spans="1:7" ht="15.75" thickBot="1" x14ac:dyDescent="0.3">
      <c r="B51" s="16" t="s">
        <v>29</v>
      </c>
      <c r="D51" s="17">
        <f>SUM(D17:D49)</f>
        <v>8720014591.1599998</v>
      </c>
      <c r="E51" s="4"/>
      <c r="F51" s="4"/>
    </row>
    <row r="52" spans="1:7" ht="16.5" thickTop="1" x14ac:dyDescent="0.25">
      <c r="A52" s="3" t="s">
        <v>30</v>
      </c>
      <c r="C52" s="1"/>
      <c r="D52" s="1"/>
      <c r="E52" s="1"/>
      <c r="F52" s="4"/>
    </row>
    <row r="53" spans="1:7" s="18" customFormat="1" x14ac:dyDescent="0.2">
      <c r="D53" s="20"/>
      <c r="E53" s="11"/>
      <c r="F53" s="11"/>
      <c r="G53" s="11"/>
    </row>
    <row r="54" spans="1:7" s="18" customFormat="1" x14ac:dyDescent="0.2">
      <c r="B54" s="21" t="s">
        <v>31</v>
      </c>
      <c r="C54" s="11"/>
      <c r="F54" s="11"/>
      <c r="G54" s="11"/>
    </row>
    <row r="55" spans="1:7" s="18" customFormat="1" x14ac:dyDescent="0.2">
      <c r="B55" s="18" t="s">
        <v>40</v>
      </c>
      <c r="C55" s="11">
        <v>891798583.32000005</v>
      </c>
      <c r="F55" s="11"/>
      <c r="G55" s="11"/>
    </row>
    <row r="56" spans="1:7" s="18" customFormat="1" x14ac:dyDescent="0.2">
      <c r="B56" s="18" t="s">
        <v>32</v>
      </c>
      <c r="C56" s="11">
        <v>5844982.0300000003</v>
      </c>
      <c r="D56" s="20"/>
      <c r="F56" s="11"/>
      <c r="G56" s="11"/>
    </row>
    <row r="57" spans="1:7" s="18" customFormat="1" x14ac:dyDescent="0.2">
      <c r="B57" s="29" t="s">
        <v>33</v>
      </c>
      <c r="C57" s="11">
        <v>826806.38</v>
      </c>
      <c r="D57" s="25"/>
      <c r="E57" s="20"/>
      <c r="F57" s="11"/>
      <c r="G57" s="11"/>
    </row>
    <row r="58" spans="1:7" s="18" customFormat="1" x14ac:dyDescent="0.2">
      <c r="B58" s="29" t="s">
        <v>34</v>
      </c>
      <c r="C58" s="11">
        <v>6849837054.8900003</v>
      </c>
      <c r="D58" s="11"/>
      <c r="F58" s="11"/>
      <c r="G58" s="11"/>
    </row>
    <row r="59" spans="1:7" s="18" customFormat="1" x14ac:dyDescent="0.2">
      <c r="B59" s="29" t="s">
        <v>35</v>
      </c>
      <c r="C59" s="11">
        <v>897587572.88999999</v>
      </c>
      <c r="D59" s="11"/>
      <c r="E59" s="20"/>
      <c r="F59" s="26"/>
      <c r="G59" s="11"/>
    </row>
    <row r="60" spans="1:7" s="18" customFormat="1" x14ac:dyDescent="0.2">
      <c r="B60" s="29" t="s">
        <v>36</v>
      </c>
      <c r="C60" s="11">
        <v>22339282.399999999</v>
      </c>
      <c r="F60" s="11"/>
      <c r="G60" s="11"/>
    </row>
    <row r="61" spans="1:7" s="18" customFormat="1" x14ac:dyDescent="0.2">
      <c r="B61" s="29" t="s">
        <v>37</v>
      </c>
      <c r="C61" s="11">
        <v>6104018.1200000001</v>
      </c>
      <c r="D61" s="20"/>
      <c r="E61" s="20"/>
      <c r="F61" s="11"/>
      <c r="G61" s="11"/>
    </row>
    <row r="62" spans="1:7" s="18" customFormat="1" x14ac:dyDescent="0.2">
      <c r="B62" s="29" t="s">
        <v>38</v>
      </c>
      <c r="C62" s="11">
        <f>777917.9+421306.43</f>
        <v>1199224.33</v>
      </c>
      <c r="F62" s="11"/>
      <c r="G62" s="11"/>
    </row>
    <row r="63" spans="1:7" s="18" customFormat="1" x14ac:dyDescent="0.2">
      <c r="B63" s="29" t="s">
        <v>47</v>
      </c>
      <c r="C63" s="11">
        <v>39544150.560000002</v>
      </c>
      <c r="F63" s="11"/>
      <c r="G63" s="11"/>
    </row>
    <row r="64" spans="1:7" s="18" customFormat="1" x14ac:dyDescent="0.2">
      <c r="B64" s="29" t="s">
        <v>55</v>
      </c>
      <c r="C64" s="11">
        <v>132916.24</v>
      </c>
      <c r="F64" s="11"/>
      <c r="G64" s="11"/>
    </row>
    <row r="65" spans="2:7" s="18" customFormat="1" x14ac:dyDescent="0.2">
      <c r="B65" s="29" t="s">
        <v>52</v>
      </c>
      <c r="C65" s="11">
        <f>3600000+1200000</f>
        <v>4800000</v>
      </c>
      <c r="F65" s="11"/>
      <c r="G65" s="11"/>
    </row>
    <row r="66" spans="2:7" s="18" customFormat="1" ht="16.5" customHeight="1" thickBot="1" x14ac:dyDescent="0.25">
      <c r="B66" s="23" t="s">
        <v>39</v>
      </c>
      <c r="D66" s="24">
        <f>SUM(C55:C65)</f>
        <v>8720014591.1599998</v>
      </c>
      <c r="E66" s="20"/>
      <c r="F66" s="11"/>
      <c r="G66" s="11"/>
    </row>
    <row r="67" spans="2:7" s="18" customFormat="1" ht="13.5" thickTop="1" x14ac:dyDescent="0.2">
      <c r="C67" s="20"/>
      <c r="D67" s="20"/>
      <c r="F67" s="11"/>
      <c r="G67" s="11"/>
    </row>
    <row r="68" spans="2:7" s="18" customFormat="1" x14ac:dyDescent="0.2">
      <c r="C68" s="20"/>
      <c r="D68" s="20"/>
      <c r="F68" s="20"/>
      <c r="G68" s="11"/>
    </row>
    <row r="69" spans="2:7" s="18" customFormat="1" x14ac:dyDescent="0.2">
      <c r="C69" s="20"/>
      <c r="D69" s="20"/>
      <c r="G69" s="11"/>
    </row>
    <row r="70" spans="2:7" s="18" customFormat="1" x14ac:dyDescent="0.2">
      <c r="D70" s="20"/>
      <c r="G70" s="11"/>
    </row>
    <row r="71" spans="2:7" x14ac:dyDescent="0.2">
      <c r="D71" s="1"/>
    </row>
    <row r="72" spans="2:7" x14ac:dyDescent="0.2">
      <c r="D72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F511-5FCB-4BAD-9731-EE9142D4B52A}">
  <sheetPr>
    <tabColor indexed="13"/>
    <pageSetUpPr fitToPage="1"/>
  </sheetPr>
  <dimension ref="A1:G72"/>
  <sheetViews>
    <sheetView showGridLines="0" zoomScale="120" zoomScaleNormal="120" zoomScaleSheetLayoutView="100" workbookViewId="0">
      <selection activeCell="A4" sqref="A4:D4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60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74201367.730000004</v>
      </c>
      <c r="D8" s="6" t="s">
        <v>8</v>
      </c>
      <c r="E8" s="4"/>
    </row>
    <row r="9" spans="1:5" ht="14.25" x14ac:dyDescent="0.2">
      <c r="B9" s="5" t="s">
        <v>48</v>
      </c>
      <c r="C9" s="4">
        <v>343507.74</v>
      </c>
      <c r="D9" s="6"/>
      <c r="E9" s="4"/>
    </row>
    <row r="10" spans="1:5" ht="14.25" x14ac:dyDescent="0.2">
      <c r="B10" s="5" t="s">
        <v>49</v>
      </c>
      <c r="C10" s="4">
        <v>251561.54</v>
      </c>
      <c r="D10" s="6"/>
      <c r="E10" s="4"/>
    </row>
    <row r="11" spans="1:5" x14ac:dyDescent="0.2">
      <c r="B11" t="s">
        <v>9</v>
      </c>
      <c r="C11" s="4">
        <v>44279390.310000002</v>
      </c>
      <c r="E11" s="4"/>
    </row>
    <row r="12" spans="1:5" x14ac:dyDescent="0.2">
      <c r="B12" s="27" t="s">
        <v>46</v>
      </c>
      <c r="C12" s="4">
        <v>111581.7</v>
      </c>
      <c r="E12" s="4"/>
    </row>
    <row r="13" spans="1:5" x14ac:dyDescent="0.2">
      <c r="B13" t="s">
        <v>10</v>
      </c>
      <c r="C13" s="4">
        <v>4033338.12</v>
      </c>
      <c r="E13" s="4"/>
    </row>
    <row r="14" spans="1:5" x14ac:dyDescent="0.2">
      <c r="B14" t="s">
        <v>50</v>
      </c>
      <c r="C14" s="4">
        <v>24188125.870000001</v>
      </c>
    </row>
    <row r="15" spans="1:5" x14ac:dyDescent="0.2">
      <c r="B15" t="s">
        <v>58</v>
      </c>
      <c r="C15" s="4">
        <v>660813.21</v>
      </c>
    </row>
    <row r="16" spans="1:5" x14ac:dyDescent="0.2">
      <c r="B16" t="s">
        <v>11</v>
      </c>
      <c r="C16" s="4">
        <v>1655581.67</v>
      </c>
    </row>
    <row r="17" spans="2:6" x14ac:dyDescent="0.2">
      <c r="B17" t="s">
        <v>57</v>
      </c>
      <c r="C17" s="4">
        <v>15092.62</v>
      </c>
      <c r="D17" s="7"/>
    </row>
    <row r="18" spans="2:6" x14ac:dyDescent="0.2">
      <c r="B18" t="s">
        <v>12</v>
      </c>
      <c r="C18" s="4">
        <v>0</v>
      </c>
      <c r="D18" s="7"/>
    </row>
    <row r="19" spans="2:6" x14ac:dyDescent="0.2">
      <c r="B19" t="s">
        <v>42</v>
      </c>
      <c r="C19" s="4">
        <v>124640.26</v>
      </c>
      <c r="D19" s="7"/>
      <c r="E19" s="4"/>
    </row>
    <row r="20" spans="2:6" x14ac:dyDescent="0.2">
      <c r="B20" t="s">
        <v>41</v>
      </c>
      <c r="C20" s="4">
        <v>165928.28</v>
      </c>
      <c r="D20" s="7"/>
      <c r="E20" s="4"/>
    </row>
    <row r="21" spans="2:6" x14ac:dyDescent="0.2">
      <c r="B21" t="s">
        <v>56</v>
      </c>
      <c r="C21" s="4">
        <v>0</v>
      </c>
      <c r="D21" s="7"/>
      <c r="E21" s="4"/>
    </row>
    <row r="22" spans="2:6" x14ac:dyDescent="0.2">
      <c r="C22" s="4"/>
      <c r="D22" s="12">
        <f>SUM(C8:C21)</f>
        <v>150030929.05000001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2132940.16</v>
      </c>
      <c r="D24" s="36"/>
      <c r="E24" s="4"/>
      <c r="F24" s="4"/>
    </row>
    <row r="25" spans="2:6" x14ac:dyDescent="0.2">
      <c r="B25" t="s">
        <v>15</v>
      </c>
      <c r="C25" s="4">
        <v>1739970.17</v>
      </c>
      <c r="D25" s="27"/>
      <c r="E25" s="4"/>
      <c r="F25" s="4"/>
    </row>
    <row r="26" spans="2:6" x14ac:dyDescent="0.2">
      <c r="D26" s="8">
        <f>SUM(C24:C25)</f>
        <v>3872910.33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127314775.89</v>
      </c>
      <c r="D28" s="1"/>
      <c r="E28" s="4"/>
      <c r="F28" s="4"/>
    </row>
    <row r="29" spans="2:6" x14ac:dyDescent="0.2">
      <c r="B29" t="s">
        <v>18</v>
      </c>
      <c r="C29" s="30">
        <v>758252689.51999998</v>
      </c>
      <c r="D29" s="1"/>
      <c r="E29" s="4"/>
      <c r="F29" s="4"/>
    </row>
    <row r="30" spans="2:6" x14ac:dyDescent="0.2">
      <c r="B30" s="31" t="s">
        <v>19</v>
      </c>
      <c r="C30" s="30">
        <f>250159793.46-(6.6+565.06)</f>
        <v>250159221.80000001</v>
      </c>
      <c r="D30" s="1"/>
      <c r="E30" s="4"/>
      <c r="F30" s="4"/>
    </row>
    <row r="31" spans="2:6" x14ac:dyDescent="0.2">
      <c r="B31" s="31" t="s">
        <v>20</v>
      </c>
      <c r="C31" s="30">
        <v>14899565.01</v>
      </c>
      <c r="E31" s="4"/>
      <c r="F31" s="4"/>
    </row>
    <row r="32" spans="2:6" x14ac:dyDescent="0.2">
      <c r="B32" s="31" t="s">
        <v>21</v>
      </c>
      <c r="C32" s="30">
        <v>59607213.509999998</v>
      </c>
      <c r="E32" s="4"/>
      <c r="F32" s="4"/>
    </row>
    <row r="33" spans="2:6" x14ac:dyDescent="0.2">
      <c r="B33" s="31"/>
      <c r="D33" s="12">
        <f>SUM(C28:C32)</f>
        <v>1210233465.73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565.05999999999995</v>
      </c>
      <c r="E36" s="4"/>
      <c r="F36" s="4"/>
    </row>
    <row r="37" spans="2:6" x14ac:dyDescent="0.2">
      <c r="B37" s="31" t="s">
        <v>25</v>
      </c>
      <c r="C37" s="30">
        <f>11323436.03+7771094.06</f>
        <v>19094530.09</v>
      </c>
      <c r="E37" s="4"/>
      <c r="F37" s="4"/>
    </row>
    <row r="38" spans="2:6" x14ac:dyDescent="0.2">
      <c r="B38" s="31" t="s">
        <v>45</v>
      </c>
      <c r="C38" s="30">
        <v>250700.08</v>
      </c>
      <c r="E38" s="4"/>
      <c r="F38" s="4"/>
    </row>
    <row r="39" spans="2:6" x14ac:dyDescent="0.2">
      <c r="B39" s="31" t="s">
        <v>54</v>
      </c>
      <c r="C39" s="30">
        <v>165259.85999999999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19511061.689999998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3865535576.01+800000000+1623887049.8+20000000+30000000</f>
        <v>6339422625.8100004</v>
      </c>
      <c r="D43" s="1"/>
      <c r="E43" s="4"/>
      <c r="F43" s="4"/>
    </row>
    <row r="44" spans="2:6" x14ac:dyDescent="0.2">
      <c r="B44" s="33" t="s">
        <v>51</v>
      </c>
      <c r="C44" s="34">
        <v>4270781.42</v>
      </c>
      <c r="D44" s="1"/>
      <c r="E44" s="4"/>
      <c r="F44" s="4"/>
    </row>
    <row r="45" spans="2:6" hidden="1" x14ac:dyDescent="0.2">
      <c r="B45" t="s">
        <v>43</v>
      </c>
      <c r="C45" s="30">
        <v>0</v>
      </c>
      <c r="D45" s="1"/>
      <c r="E45" s="4"/>
      <c r="F45" s="4"/>
    </row>
    <row r="46" spans="2:6" x14ac:dyDescent="0.2">
      <c r="B46" t="s">
        <v>24</v>
      </c>
      <c r="C46" s="30">
        <v>144328528.46000001</v>
      </c>
      <c r="E46" s="4"/>
      <c r="F46" s="4"/>
    </row>
    <row r="47" spans="2:6" x14ac:dyDescent="0.2">
      <c r="B47" t="s">
        <v>0</v>
      </c>
      <c r="C47" s="30">
        <v>908614761.33000004</v>
      </c>
      <c r="D47" s="13"/>
      <c r="E47" s="4"/>
      <c r="F47" s="4"/>
    </row>
    <row r="48" spans="2:6" x14ac:dyDescent="0.2">
      <c r="B48" s="27" t="s">
        <v>44</v>
      </c>
      <c r="C48" s="30">
        <v>44518527.079999998</v>
      </c>
      <c r="D48" s="13"/>
      <c r="F48" s="4"/>
    </row>
    <row r="49" spans="1:7" x14ac:dyDescent="0.2">
      <c r="C49" s="1"/>
      <c r="D49" s="14">
        <f>SUM(C43:C48)</f>
        <v>7441155224.1000004</v>
      </c>
      <c r="E49" s="4"/>
      <c r="F49" s="4"/>
    </row>
    <row r="50" spans="1:7" x14ac:dyDescent="0.2">
      <c r="C50" s="4"/>
      <c r="D50" s="15"/>
      <c r="F50" s="4"/>
    </row>
    <row r="51" spans="1:7" ht="15.75" thickBot="1" x14ac:dyDescent="0.3">
      <c r="B51" s="16" t="s">
        <v>29</v>
      </c>
      <c r="D51" s="17">
        <f>SUM(D17:D49)</f>
        <v>8824803590.9000015</v>
      </c>
      <c r="E51" s="4"/>
      <c r="F51" s="4"/>
    </row>
    <row r="52" spans="1:7" ht="16.5" thickTop="1" x14ac:dyDescent="0.25">
      <c r="A52" s="3" t="s">
        <v>30</v>
      </c>
      <c r="C52" s="1"/>
      <c r="D52" s="1"/>
      <c r="E52" s="1"/>
      <c r="F52" s="4"/>
    </row>
    <row r="53" spans="1:7" s="18" customFormat="1" x14ac:dyDescent="0.2">
      <c r="D53" s="20"/>
      <c r="E53" s="11"/>
      <c r="F53" s="11"/>
      <c r="G53" s="11"/>
    </row>
    <row r="54" spans="1:7" s="18" customFormat="1" x14ac:dyDescent="0.2">
      <c r="B54" s="21" t="s">
        <v>31</v>
      </c>
      <c r="C54" s="11"/>
      <c r="F54" s="11"/>
      <c r="G54" s="11"/>
    </row>
    <row r="55" spans="1:7" s="18" customFormat="1" x14ac:dyDescent="0.2">
      <c r="B55" s="18" t="s">
        <v>40</v>
      </c>
      <c r="C55" s="11">
        <v>893488129.86000001</v>
      </c>
      <c r="F55" s="11"/>
      <c r="G55" s="11"/>
    </row>
    <row r="56" spans="1:7" s="18" customFormat="1" x14ac:dyDescent="0.2">
      <c r="B56" s="18" t="s">
        <v>32</v>
      </c>
      <c r="C56" s="11">
        <v>6517679.2400000002</v>
      </c>
      <c r="D56" s="20"/>
      <c r="F56" s="11"/>
      <c r="G56" s="11"/>
    </row>
    <row r="57" spans="1:7" s="18" customFormat="1" x14ac:dyDescent="0.2">
      <c r="B57" s="29" t="s">
        <v>33</v>
      </c>
      <c r="C57" s="11">
        <v>931430.76</v>
      </c>
      <c r="D57" s="25"/>
      <c r="E57" s="20"/>
      <c r="F57" s="11"/>
      <c r="G57" s="11"/>
    </row>
    <row r="58" spans="1:7" s="18" customFormat="1" x14ac:dyDescent="0.2">
      <c r="B58" s="29" t="s">
        <v>34</v>
      </c>
      <c r="C58" s="11">
        <v>6931328763.3999996</v>
      </c>
      <c r="D58" s="11"/>
      <c r="F58" s="11"/>
      <c r="G58" s="11"/>
    </row>
    <row r="59" spans="1:7" s="18" customFormat="1" x14ac:dyDescent="0.2">
      <c r="B59" s="29" t="s">
        <v>35</v>
      </c>
      <c r="C59" s="11">
        <v>912654224.14999998</v>
      </c>
      <c r="D59" s="11"/>
      <c r="E59" s="20"/>
      <c r="F59" s="26"/>
      <c r="G59" s="11"/>
    </row>
    <row r="60" spans="1:7" s="18" customFormat="1" x14ac:dyDescent="0.2">
      <c r="B60" s="29" t="s">
        <v>36</v>
      </c>
      <c r="C60" s="11">
        <v>26153904.539999999</v>
      </c>
      <c r="F60" s="11"/>
      <c r="G60" s="11"/>
    </row>
    <row r="61" spans="1:7" s="18" customFormat="1" x14ac:dyDescent="0.2">
      <c r="B61" s="29" t="s">
        <v>37</v>
      </c>
      <c r="C61" s="11">
        <v>7462409.9900000002</v>
      </c>
      <c r="D61" s="20"/>
      <c r="E61" s="20"/>
      <c r="F61" s="11"/>
      <c r="G61" s="11"/>
    </row>
    <row r="62" spans="1:7" s="18" customFormat="1" x14ac:dyDescent="0.2">
      <c r="B62" s="29" t="s">
        <v>38</v>
      </c>
      <c r="C62" s="11">
        <f>870677.07+461884.87</f>
        <v>1332561.94</v>
      </c>
      <c r="F62" s="11"/>
      <c r="G62" s="11"/>
    </row>
    <row r="63" spans="1:7" s="18" customFormat="1" x14ac:dyDescent="0.2">
      <c r="B63" s="29" t="s">
        <v>47</v>
      </c>
      <c r="C63" s="11">
        <v>39369227.159999996</v>
      </c>
      <c r="F63" s="11"/>
      <c r="G63" s="11"/>
    </row>
    <row r="64" spans="1:7" s="18" customFormat="1" x14ac:dyDescent="0.2">
      <c r="B64" s="29" t="s">
        <v>55</v>
      </c>
      <c r="C64" s="11">
        <v>165259.85999999999</v>
      </c>
      <c r="F64" s="11"/>
      <c r="G64" s="11"/>
    </row>
    <row r="65" spans="2:7" s="18" customFormat="1" x14ac:dyDescent="0.2">
      <c r="B65" s="29" t="s">
        <v>52</v>
      </c>
      <c r="C65" s="11">
        <f>4050000+1350000</f>
        <v>5400000</v>
      </c>
      <c r="F65" s="11"/>
      <c r="G65" s="11"/>
    </row>
    <row r="66" spans="2:7" s="18" customFormat="1" ht="16.5" customHeight="1" thickBot="1" x14ac:dyDescent="0.25">
      <c r="B66" s="23" t="s">
        <v>39</v>
      </c>
      <c r="D66" s="24">
        <f>SUM(C55:C65)</f>
        <v>8824803590.9000015</v>
      </c>
      <c r="E66" s="20"/>
      <c r="F66" s="11"/>
      <c r="G66" s="11"/>
    </row>
    <row r="67" spans="2:7" s="18" customFormat="1" ht="13.5" thickTop="1" x14ac:dyDescent="0.2">
      <c r="C67" s="20"/>
      <c r="D67" s="20"/>
      <c r="F67" s="11"/>
      <c r="G67" s="11"/>
    </row>
    <row r="68" spans="2:7" s="18" customFormat="1" x14ac:dyDescent="0.2">
      <c r="C68" s="20"/>
      <c r="D68" s="20"/>
      <c r="F68" s="20"/>
      <c r="G68" s="11"/>
    </row>
    <row r="69" spans="2:7" s="18" customFormat="1" x14ac:dyDescent="0.2">
      <c r="C69" s="20"/>
      <c r="D69" s="20"/>
      <c r="G69" s="11"/>
    </row>
    <row r="70" spans="2:7" s="18" customFormat="1" x14ac:dyDescent="0.2">
      <c r="D70" s="20"/>
      <c r="G70" s="11"/>
    </row>
    <row r="71" spans="2:7" x14ac:dyDescent="0.2">
      <c r="D71" s="1"/>
    </row>
    <row r="72" spans="2:7" x14ac:dyDescent="0.2">
      <c r="D72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B0B9-DBEF-4E85-AC11-E3F02B7831EB}">
  <sheetPr>
    <tabColor indexed="13"/>
    <pageSetUpPr fitToPage="1"/>
  </sheetPr>
  <dimension ref="A1:G72"/>
  <sheetViews>
    <sheetView showGridLines="0" zoomScale="120" zoomScaleNormal="120" zoomScaleSheetLayoutView="100" workbookViewId="0">
      <selection activeCell="D70" sqref="D70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61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103339135.39</v>
      </c>
      <c r="D8" s="6" t="s">
        <v>8</v>
      </c>
      <c r="E8" s="4"/>
    </row>
    <row r="9" spans="1:5" ht="14.25" x14ac:dyDescent="0.2">
      <c r="B9" s="5" t="s">
        <v>48</v>
      </c>
      <c r="C9" s="4">
        <v>196219.96</v>
      </c>
      <c r="D9" s="6"/>
      <c r="E9" s="4"/>
    </row>
    <row r="10" spans="1:5" ht="14.25" x14ac:dyDescent="0.2">
      <c r="B10" s="5" t="s">
        <v>49</v>
      </c>
      <c r="C10" s="4">
        <v>4011389.12</v>
      </c>
      <c r="D10" s="6"/>
      <c r="E10" s="4"/>
    </row>
    <row r="11" spans="1:5" x14ac:dyDescent="0.2">
      <c r="B11" t="s">
        <v>9</v>
      </c>
      <c r="C11" s="4">
        <v>44624764.579999998</v>
      </c>
      <c r="E11" s="4"/>
    </row>
    <row r="12" spans="1:5" x14ac:dyDescent="0.2">
      <c r="B12" s="27" t="s">
        <v>46</v>
      </c>
      <c r="C12" s="4">
        <v>209235.86</v>
      </c>
      <c r="E12" s="4"/>
    </row>
    <row r="13" spans="1:5" x14ac:dyDescent="0.2">
      <c r="B13" t="s">
        <v>10</v>
      </c>
      <c r="C13" s="4">
        <v>500329.91</v>
      </c>
      <c r="E13" s="4"/>
    </row>
    <row r="14" spans="1:5" x14ac:dyDescent="0.2">
      <c r="B14" t="s">
        <v>50</v>
      </c>
      <c r="C14" s="4">
        <v>27452794.510000002</v>
      </c>
    </row>
    <row r="15" spans="1:5" x14ac:dyDescent="0.2">
      <c r="B15" t="s">
        <v>58</v>
      </c>
      <c r="C15" s="4">
        <v>56892.31</v>
      </c>
    </row>
    <row r="16" spans="1:5" x14ac:dyDescent="0.2">
      <c r="B16" t="s">
        <v>11</v>
      </c>
      <c r="C16" s="4">
        <v>1947211.88</v>
      </c>
    </row>
    <row r="17" spans="2:6" x14ac:dyDescent="0.2">
      <c r="B17" t="s">
        <v>57</v>
      </c>
      <c r="C17" s="4">
        <v>10151.69</v>
      </c>
      <c r="D17" s="7"/>
    </row>
    <row r="18" spans="2:6" x14ac:dyDescent="0.2">
      <c r="B18" t="s">
        <v>12</v>
      </c>
      <c r="C18" s="4">
        <v>145442.51999999999</v>
      </c>
      <c r="D18" s="7"/>
    </row>
    <row r="19" spans="2:6" x14ac:dyDescent="0.2">
      <c r="B19" t="s">
        <v>42</v>
      </c>
      <c r="C19" s="4">
        <v>486302</v>
      </c>
      <c r="D19" s="7"/>
      <c r="E19" s="4"/>
    </row>
    <row r="20" spans="2:6" x14ac:dyDescent="0.2">
      <c r="B20" t="s">
        <v>41</v>
      </c>
      <c r="C20" s="4">
        <v>219326.14</v>
      </c>
      <c r="D20" s="7"/>
      <c r="E20" s="4"/>
    </row>
    <row r="21" spans="2:6" x14ac:dyDescent="0.2">
      <c r="B21" t="s">
        <v>56</v>
      </c>
      <c r="C21" s="4">
        <v>0</v>
      </c>
      <c r="D21" s="7"/>
      <c r="E21" s="4"/>
    </row>
    <row r="22" spans="2:6" x14ac:dyDescent="0.2">
      <c r="C22" s="4"/>
      <c r="D22" s="12">
        <f>SUM(C8:C21)</f>
        <v>183199195.87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2001049.77</v>
      </c>
      <c r="D24" s="36"/>
      <c r="E24" s="4"/>
      <c r="F24" s="4"/>
    </row>
    <row r="25" spans="2:6" x14ac:dyDescent="0.2">
      <c r="B25" t="s">
        <v>15</v>
      </c>
      <c r="C25" s="4">
        <v>1025809.58</v>
      </c>
      <c r="D25" s="27"/>
      <c r="E25" s="4"/>
      <c r="F25" s="4"/>
    </row>
    <row r="26" spans="2:6" x14ac:dyDescent="0.2">
      <c r="D26" s="8">
        <f>SUM(C24:C25)</f>
        <v>3026859.35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132019187.81</v>
      </c>
      <c r="D28" s="1"/>
      <c r="E28" s="4"/>
      <c r="F28" s="4"/>
    </row>
    <row r="29" spans="2:6" x14ac:dyDescent="0.2">
      <c r="B29" t="s">
        <v>18</v>
      </c>
      <c r="C29" s="30">
        <v>771080043.44000006</v>
      </c>
      <c r="D29" s="1"/>
      <c r="E29" s="4"/>
      <c r="F29" s="4"/>
    </row>
    <row r="30" spans="2:6" x14ac:dyDescent="0.2">
      <c r="B30" s="31" t="s">
        <v>19</v>
      </c>
      <c r="C30" s="30">
        <f>213516657.81-(6.6+3129.87)</f>
        <v>213513521.34</v>
      </c>
      <c r="D30" s="1"/>
      <c r="E30" s="4"/>
      <c r="F30" s="4"/>
    </row>
    <row r="31" spans="2:6" x14ac:dyDescent="0.2">
      <c r="B31" s="31" t="s">
        <v>20</v>
      </c>
      <c r="C31" s="30">
        <v>13148994.98</v>
      </c>
      <c r="E31" s="4"/>
      <c r="F31" s="4"/>
    </row>
    <row r="32" spans="2:6" x14ac:dyDescent="0.2">
      <c r="B32" s="31" t="s">
        <v>21</v>
      </c>
      <c r="C32" s="30">
        <v>59607213.509999998</v>
      </c>
      <c r="E32" s="4"/>
      <c r="F32" s="4"/>
    </row>
    <row r="33" spans="2:6" x14ac:dyDescent="0.2">
      <c r="B33" s="31"/>
      <c r="D33" s="12">
        <f>SUM(C28:C32)</f>
        <v>1189368961.0799999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3129.87</v>
      </c>
      <c r="E36" s="4"/>
      <c r="F36" s="4"/>
    </row>
    <row r="37" spans="2:6" x14ac:dyDescent="0.2">
      <c r="B37" s="31" t="s">
        <v>25</v>
      </c>
      <c r="C37" s="30">
        <f>11323436.03+3928738.63</f>
        <v>15252174.66</v>
      </c>
      <c r="E37" s="4"/>
      <c r="F37" s="4"/>
    </row>
    <row r="38" spans="2:6" x14ac:dyDescent="0.2">
      <c r="B38" s="31" t="s">
        <v>45</v>
      </c>
      <c r="C38" s="30">
        <v>457952.46</v>
      </c>
      <c r="E38" s="4"/>
      <c r="F38" s="4"/>
    </row>
    <row r="39" spans="2:6" x14ac:dyDescent="0.2">
      <c r="B39" s="31" t="s">
        <v>54</v>
      </c>
      <c r="C39" s="30">
        <v>32343.62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15745607.209999999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3868741907.78+800000000+1679580138.8+20000000+30000000</f>
        <v>6398322046.5800009</v>
      </c>
      <c r="D43" s="1"/>
      <c r="E43" s="4"/>
      <c r="F43" s="4"/>
    </row>
    <row r="44" spans="2:6" x14ac:dyDescent="0.2">
      <c r="B44" s="33" t="s">
        <v>51</v>
      </c>
      <c r="C44" s="34">
        <v>4793245.72</v>
      </c>
      <c r="D44" s="1"/>
      <c r="E44" s="4"/>
      <c r="F44" s="4"/>
    </row>
    <row r="45" spans="2:6" hidden="1" x14ac:dyDescent="0.2">
      <c r="B45" t="s">
        <v>43</v>
      </c>
      <c r="C45" s="30">
        <v>0</v>
      </c>
      <c r="D45" s="1"/>
      <c r="E45" s="4"/>
      <c r="F45" s="4"/>
    </row>
    <row r="46" spans="2:6" x14ac:dyDescent="0.2">
      <c r="B46" t="s">
        <v>24</v>
      </c>
      <c r="C46" s="30">
        <v>147661324.63999999</v>
      </c>
      <c r="E46" s="4"/>
      <c r="F46" s="4"/>
    </row>
    <row r="47" spans="2:6" x14ac:dyDescent="0.2">
      <c r="B47" t="s">
        <v>0</v>
      </c>
      <c r="C47" s="30">
        <v>927135368.63</v>
      </c>
      <c r="D47" s="13"/>
      <c r="E47" s="4"/>
      <c r="F47" s="4"/>
    </row>
    <row r="48" spans="2:6" x14ac:dyDescent="0.2">
      <c r="B48" s="27" t="s">
        <v>44</v>
      </c>
      <c r="C48" s="30">
        <v>44898133.799999997</v>
      </c>
      <c r="D48" s="13"/>
      <c r="F48" s="4"/>
    </row>
    <row r="49" spans="1:7" x14ac:dyDescent="0.2">
      <c r="C49" s="1"/>
      <c r="D49" s="14">
        <f>SUM(C43:C48)</f>
        <v>7522810119.3700018</v>
      </c>
      <c r="E49" s="4"/>
      <c r="F49" s="4"/>
    </row>
    <row r="50" spans="1:7" x14ac:dyDescent="0.2">
      <c r="C50" s="4"/>
      <c r="D50" s="15"/>
      <c r="F50" s="4"/>
    </row>
    <row r="51" spans="1:7" ht="15.75" thickBot="1" x14ac:dyDescent="0.3">
      <c r="B51" s="16" t="s">
        <v>29</v>
      </c>
      <c r="D51" s="17">
        <f>SUM(D17:D49)</f>
        <v>8914150742.8800011</v>
      </c>
      <c r="E51" s="4"/>
      <c r="F51" s="4"/>
    </row>
    <row r="52" spans="1:7" ht="16.5" thickTop="1" x14ac:dyDescent="0.25">
      <c r="A52" s="3" t="s">
        <v>30</v>
      </c>
      <c r="C52" s="1"/>
      <c r="D52" s="1"/>
      <c r="E52" s="1"/>
      <c r="F52" s="4"/>
    </row>
    <row r="53" spans="1:7" s="18" customFormat="1" x14ac:dyDescent="0.2">
      <c r="D53" s="20"/>
      <c r="E53" s="11"/>
      <c r="F53" s="11"/>
      <c r="G53" s="11"/>
    </row>
    <row r="54" spans="1:7" s="18" customFormat="1" x14ac:dyDescent="0.2">
      <c r="B54" s="21" t="s">
        <v>31</v>
      </c>
      <c r="C54" s="11"/>
      <c r="F54" s="11"/>
      <c r="G54" s="11"/>
    </row>
    <row r="55" spans="1:7" s="18" customFormat="1" x14ac:dyDescent="0.2">
      <c r="B55" s="18" t="s">
        <v>40</v>
      </c>
      <c r="C55" s="11">
        <v>928668506.61000001</v>
      </c>
      <c r="F55" s="11"/>
      <c r="G55" s="11"/>
    </row>
    <row r="56" spans="1:7" s="18" customFormat="1" x14ac:dyDescent="0.2">
      <c r="B56" s="18" t="s">
        <v>32</v>
      </c>
      <c r="C56" s="11">
        <v>6894292.6600000001</v>
      </c>
      <c r="D56" s="20"/>
      <c r="F56" s="11"/>
      <c r="G56" s="11"/>
    </row>
    <row r="57" spans="1:7" s="18" customFormat="1" x14ac:dyDescent="0.2">
      <c r="B57" s="29" t="s">
        <v>33</v>
      </c>
      <c r="C57" s="11">
        <v>999897.93</v>
      </c>
      <c r="D57" s="25"/>
      <c r="E57" s="20"/>
      <c r="F57" s="11"/>
      <c r="G57" s="11"/>
    </row>
    <row r="58" spans="1:7" s="18" customFormat="1" x14ac:dyDescent="0.2">
      <c r="B58" s="29" t="s">
        <v>34</v>
      </c>
      <c r="C58" s="11">
        <v>6971454311.3800001</v>
      </c>
      <c r="D58" s="11"/>
      <c r="F58" s="11"/>
      <c r="G58" s="11"/>
    </row>
    <row r="59" spans="1:7" s="18" customFormat="1" x14ac:dyDescent="0.2">
      <c r="B59" s="29" t="s">
        <v>35</v>
      </c>
      <c r="C59" s="11">
        <v>927740167.41999996</v>
      </c>
      <c r="D59" s="11"/>
      <c r="E59" s="20"/>
      <c r="F59" s="26"/>
      <c r="G59" s="11"/>
    </row>
    <row r="60" spans="1:7" s="18" customFormat="1" x14ac:dyDescent="0.2">
      <c r="B60" s="29" t="s">
        <v>36</v>
      </c>
      <c r="C60" s="11">
        <v>24560288.91</v>
      </c>
      <c r="F60" s="11"/>
      <c r="G60" s="11"/>
    </row>
    <row r="61" spans="1:7" s="18" customFormat="1" x14ac:dyDescent="0.2">
      <c r="B61" s="29" t="s">
        <v>37</v>
      </c>
      <c r="C61" s="11">
        <v>7044659.46</v>
      </c>
      <c r="D61" s="20"/>
      <c r="E61" s="20"/>
      <c r="F61" s="11"/>
      <c r="G61" s="11"/>
    </row>
    <row r="62" spans="1:7" s="18" customFormat="1" x14ac:dyDescent="0.2">
      <c r="B62" s="29" t="s">
        <v>38</v>
      </c>
      <c r="C62" s="11">
        <f>928780.71+471407.92</f>
        <v>1400188.63</v>
      </c>
      <c r="F62" s="11"/>
      <c r="G62" s="11"/>
    </row>
    <row r="63" spans="1:7" s="18" customFormat="1" x14ac:dyDescent="0.2">
      <c r="B63" s="29" t="s">
        <v>47</v>
      </c>
      <c r="C63" s="11">
        <v>39356086.259999998</v>
      </c>
      <c r="F63" s="11"/>
      <c r="G63" s="11"/>
    </row>
    <row r="64" spans="1:7" s="18" customFormat="1" x14ac:dyDescent="0.2">
      <c r="B64" s="29" t="s">
        <v>55</v>
      </c>
      <c r="C64" s="11">
        <v>32343.62</v>
      </c>
      <c r="F64" s="11"/>
      <c r="G64" s="11"/>
    </row>
    <row r="65" spans="2:7" s="18" customFormat="1" x14ac:dyDescent="0.2">
      <c r="B65" s="29" t="s">
        <v>52</v>
      </c>
      <c r="C65" s="11">
        <f>4500000+1500000</f>
        <v>6000000</v>
      </c>
      <c r="F65" s="11"/>
      <c r="G65" s="11"/>
    </row>
    <row r="66" spans="2:7" s="18" customFormat="1" ht="16.5" customHeight="1" thickBot="1" x14ac:dyDescent="0.25">
      <c r="B66" s="23" t="s">
        <v>39</v>
      </c>
      <c r="D66" s="24">
        <f>SUM(C55:C65)</f>
        <v>8914150742.8799992</v>
      </c>
      <c r="E66" s="20"/>
      <c r="F66" s="11"/>
      <c r="G66" s="11"/>
    </row>
    <row r="67" spans="2:7" s="18" customFormat="1" ht="13.5" thickTop="1" x14ac:dyDescent="0.2">
      <c r="C67" s="20"/>
      <c r="D67" s="20"/>
      <c r="F67" s="11"/>
      <c r="G67" s="11"/>
    </row>
    <row r="68" spans="2:7" s="18" customFormat="1" x14ac:dyDescent="0.2">
      <c r="C68" s="20"/>
      <c r="D68" s="20"/>
      <c r="F68" s="20"/>
      <c r="G68" s="11"/>
    </row>
    <row r="69" spans="2:7" s="18" customFormat="1" x14ac:dyDescent="0.2">
      <c r="C69" s="20"/>
      <c r="D69" s="20"/>
      <c r="G69" s="11"/>
    </row>
    <row r="70" spans="2:7" s="18" customFormat="1" x14ac:dyDescent="0.2">
      <c r="D70" s="20"/>
      <c r="G70" s="11"/>
    </row>
    <row r="71" spans="2:7" x14ac:dyDescent="0.2">
      <c r="D71" s="1"/>
    </row>
    <row r="72" spans="2:7" x14ac:dyDescent="0.2">
      <c r="D72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0282-76BE-4C55-8D76-E54A6FD053AD}">
  <sheetPr>
    <tabColor indexed="13"/>
    <pageSetUpPr fitToPage="1"/>
  </sheetPr>
  <dimension ref="A1:G71"/>
  <sheetViews>
    <sheetView showGridLines="0" zoomScale="120" zoomScaleNormal="120" zoomScaleSheetLayoutView="100" workbookViewId="0">
      <selection activeCell="A5" sqref="A5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62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82366178.900000006</v>
      </c>
      <c r="D8" s="6" t="s">
        <v>8</v>
      </c>
      <c r="E8" s="4"/>
    </row>
    <row r="9" spans="1:5" ht="14.25" x14ac:dyDescent="0.2">
      <c r="B9" s="5" t="s">
        <v>48</v>
      </c>
      <c r="C9" s="4">
        <v>39095.120000000003</v>
      </c>
      <c r="D9" s="6"/>
      <c r="E9" s="4"/>
    </row>
    <row r="10" spans="1:5" ht="14.25" x14ac:dyDescent="0.2">
      <c r="B10" s="5" t="s">
        <v>49</v>
      </c>
      <c r="C10" s="4">
        <v>3219249.38</v>
      </c>
      <c r="D10" s="6"/>
      <c r="E10" s="4"/>
    </row>
    <row r="11" spans="1:5" x14ac:dyDescent="0.2">
      <c r="B11" t="s">
        <v>9</v>
      </c>
      <c r="C11" s="4">
        <v>99185815.879999995</v>
      </c>
      <c r="E11" s="4"/>
    </row>
    <row r="12" spans="1:5" x14ac:dyDescent="0.2">
      <c r="B12" s="27" t="s">
        <v>46</v>
      </c>
      <c r="C12" s="4">
        <v>42801.04</v>
      </c>
      <c r="E12" s="4"/>
    </row>
    <row r="13" spans="1:5" x14ac:dyDescent="0.2">
      <c r="B13" t="s">
        <v>10</v>
      </c>
      <c r="C13" s="4">
        <v>7786707.1799999997</v>
      </c>
      <c r="E13" s="4"/>
    </row>
    <row r="14" spans="1:5" x14ac:dyDescent="0.2">
      <c r="B14" t="s">
        <v>50</v>
      </c>
      <c r="C14" s="4">
        <v>41671947.289999999</v>
      </c>
    </row>
    <row r="15" spans="1:5" x14ac:dyDescent="0.2">
      <c r="B15" t="s">
        <v>58</v>
      </c>
      <c r="C15" s="4">
        <v>181169.52</v>
      </c>
    </row>
    <row r="16" spans="1:5" x14ac:dyDescent="0.2">
      <c r="B16" t="s">
        <v>11</v>
      </c>
      <c r="C16" s="4">
        <v>1570260.67</v>
      </c>
    </row>
    <row r="17" spans="2:6" x14ac:dyDescent="0.2">
      <c r="B17" t="s">
        <v>57</v>
      </c>
      <c r="C17" s="4">
        <v>95137.23</v>
      </c>
      <c r="D17" s="7"/>
    </row>
    <row r="18" spans="2:6" x14ac:dyDescent="0.2">
      <c r="B18" t="s">
        <v>12</v>
      </c>
      <c r="C18" s="4">
        <v>439316.71</v>
      </c>
      <c r="D18" s="7"/>
    </row>
    <row r="19" spans="2:6" x14ac:dyDescent="0.2">
      <c r="B19" t="s">
        <v>42</v>
      </c>
      <c r="C19" s="4">
        <v>158071.74</v>
      </c>
      <c r="D19" s="7"/>
      <c r="E19" s="4"/>
    </row>
    <row r="20" spans="2:6" x14ac:dyDescent="0.2">
      <c r="B20" t="s">
        <v>41</v>
      </c>
      <c r="C20" s="4">
        <v>71705.42</v>
      </c>
      <c r="D20" s="7"/>
      <c r="E20" s="4"/>
    </row>
    <row r="21" spans="2:6" x14ac:dyDescent="0.2">
      <c r="C21" s="4"/>
      <c r="D21" s="12">
        <f>SUM(C8:C20)</f>
        <v>236827456.07999998</v>
      </c>
      <c r="E21" s="4"/>
    </row>
    <row r="22" spans="2:6" x14ac:dyDescent="0.2">
      <c r="B22" s="9" t="s">
        <v>13</v>
      </c>
      <c r="C22" s="4"/>
      <c r="E22" s="4"/>
    </row>
    <row r="23" spans="2:6" x14ac:dyDescent="0.2">
      <c r="B23" t="s">
        <v>14</v>
      </c>
      <c r="C23" s="4">
        <v>2274659.08</v>
      </c>
      <c r="D23" s="36"/>
      <c r="E23" s="4"/>
      <c r="F23" s="4"/>
    </row>
    <row r="24" spans="2:6" x14ac:dyDescent="0.2">
      <c r="B24" t="s">
        <v>15</v>
      </c>
      <c r="C24" s="4">
        <v>1775380.66</v>
      </c>
      <c r="D24" s="27"/>
      <c r="E24" s="4"/>
      <c r="F24" s="4"/>
    </row>
    <row r="25" spans="2:6" x14ac:dyDescent="0.2">
      <c r="D25" s="8">
        <f>SUM(C23:C24)</f>
        <v>4050039.74</v>
      </c>
      <c r="E25" s="4"/>
      <c r="F25" s="4"/>
    </row>
    <row r="26" spans="2:6" ht="15" x14ac:dyDescent="0.25">
      <c r="B26" s="2" t="s">
        <v>16</v>
      </c>
      <c r="C26" s="4"/>
      <c r="E26" s="4"/>
      <c r="F26" s="4"/>
    </row>
    <row r="27" spans="2:6" x14ac:dyDescent="0.2">
      <c r="B27" t="s">
        <v>17</v>
      </c>
      <c r="C27" s="30">
        <v>157962619.88999999</v>
      </c>
      <c r="D27" s="1"/>
      <c r="E27" s="4"/>
      <c r="F27" s="4"/>
    </row>
    <row r="28" spans="2:6" x14ac:dyDescent="0.2">
      <c r="B28" t="s">
        <v>18</v>
      </c>
      <c r="C28" s="30">
        <v>781596951.70000005</v>
      </c>
      <c r="D28" s="1"/>
      <c r="E28" s="4"/>
      <c r="F28" s="4"/>
    </row>
    <row r="29" spans="2:6" x14ac:dyDescent="0.2">
      <c r="B29" s="31" t="s">
        <v>19</v>
      </c>
      <c r="C29" s="30">
        <f>244524749.9-50.12-6.6</f>
        <v>244524693.18000001</v>
      </c>
      <c r="D29" s="1"/>
      <c r="E29" s="4"/>
      <c r="F29" s="4"/>
    </row>
    <row r="30" spans="2:6" x14ac:dyDescent="0.2">
      <c r="B30" s="31" t="s">
        <v>20</v>
      </c>
      <c r="C30" s="30">
        <v>64262.89</v>
      </c>
      <c r="E30" s="4"/>
      <c r="F30" s="4"/>
    </row>
    <row r="31" spans="2:6" x14ac:dyDescent="0.2">
      <c r="B31" s="31" t="s">
        <v>21</v>
      </c>
      <c r="C31" s="30">
        <v>59607213.509999998</v>
      </c>
      <c r="E31" s="4"/>
      <c r="F31" s="4"/>
    </row>
    <row r="32" spans="2:6" x14ac:dyDescent="0.2">
      <c r="B32" s="31"/>
      <c r="D32" s="12">
        <f>SUM(C27:C31)</f>
        <v>1243755741.1700001</v>
      </c>
      <c r="E32" s="4"/>
      <c r="F32" s="4"/>
    </row>
    <row r="33" spans="2:6" ht="35.25" customHeight="1" x14ac:dyDescent="0.25">
      <c r="B33" s="32" t="s">
        <v>22</v>
      </c>
      <c r="C33" s="4"/>
      <c r="E33" s="4"/>
      <c r="F33" s="4"/>
    </row>
    <row r="34" spans="2:6" x14ac:dyDescent="0.2">
      <c r="B34" s="31" t="s">
        <v>23</v>
      </c>
      <c r="C34" s="30">
        <v>0</v>
      </c>
      <c r="D34" t="s">
        <v>2</v>
      </c>
      <c r="E34" s="4"/>
      <c r="F34" s="4"/>
    </row>
    <row r="35" spans="2:6" x14ac:dyDescent="0.2">
      <c r="B35" s="31" t="s">
        <v>24</v>
      </c>
      <c r="C35" s="30">
        <v>50.12</v>
      </c>
      <c r="E35" s="4"/>
      <c r="F35" s="4"/>
    </row>
    <row r="36" spans="2:6" x14ac:dyDescent="0.2">
      <c r="B36" s="31" t="s">
        <v>25</v>
      </c>
      <c r="C36" s="30">
        <f>11323436.03+1412773.25</f>
        <v>12736209.279999999</v>
      </c>
      <c r="E36" s="4"/>
      <c r="F36" s="4"/>
    </row>
    <row r="37" spans="2:6" x14ac:dyDescent="0.2">
      <c r="B37" s="31" t="s">
        <v>45</v>
      </c>
      <c r="C37" s="30">
        <v>660303.30000000005</v>
      </c>
      <c r="E37" s="4"/>
      <c r="F37" s="4"/>
    </row>
    <row r="38" spans="2:6" x14ac:dyDescent="0.2">
      <c r="B38" s="31" t="s">
        <v>54</v>
      </c>
      <c r="C38" s="30">
        <v>0</v>
      </c>
      <c r="E38" s="4"/>
      <c r="F38" s="4"/>
    </row>
    <row r="39" spans="2:6" x14ac:dyDescent="0.2">
      <c r="B39" s="31" t="s">
        <v>26</v>
      </c>
      <c r="C39" s="30">
        <v>6.6</v>
      </c>
      <c r="E39" s="4"/>
      <c r="F39" s="4"/>
    </row>
    <row r="40" spans="2:6" x14ac:dyDescent="0.2">
      <c r="C40" s="11"/>
      <c r="D40" s="12">
        <f>SUM(C34:C39)</f>
        <v>13396569.299999999</v>
      </c>
      <c r="E40" s="4"/>
      <c r="F40" s="4"/>
    </row>
    <row r="41" spans="2:6" ht="15" x14ac:dyDescent="0.25">
      <c r="B41" s="2" t="s">
        <v>27</v>
      </c>
      <c r="C41" s="4"/>
      <c r="E41" s="4"/>
      <c r="F41" s="4"/>
    </row>
    <row r="42" spans="2:6" x14ac:dyDescent="0.2">
      <c r="B42" t="s">
        <v>28</v>
      </c>
      <c r="C42" s="30">
        <f>3872378228.78+800000000+1695873764.79+20000000+30439902.13</f>
        <v>6418691895.7000008</v>
      </c>
      <c r="D42" s="1"/>
      <c r="E42" s="4"/>
      <c r="F42" s="4"/>
    </row>
    <row r="43" spans="2:6" x14ac:dyDescent="0.2">
      <c r="B43" s="33" t="s">
        <v>51</v>
      </c>
      <c r="C43" s="34">
        <v>4793245.72</v>
      </c>
      <c r="D43" s="1"/>
      <c r="E43" s="4"/>
      <c r="F43" s="4"/>
    </row>
    <row r="44" spans="2:6" hidden="1" x14ac:dyDescent="0.2">
      <c r="B44" t="s">
        <v>43</v>
      </c>
      <c r="C44" s="30">
        <v>0</v>
      </c>
      <c r="D44" s="1"/>
      <c r="E44" s="4"/>
      <c r="F44" s="4"/>
    </row>
    <row r="45" spans="2:6" x14ac:dyDescent="0.2">
      <c r="B45" t="s">
        <v>24</v>
      </c>
      <c r="C45" s="30">
        <v>151121928.81</v>
      </c>
      <c r="E45" s="4"/>
      <c r="F45" s="4"/>
    </row>
    <row r="46" spans="2:6" x14ac:dyDescent="0.2">
      <c r="B46" t="s">
        <v>0</v>
      </c>
      <c r="C46" s="30">
        <v>942505517.94000006</v>
      </c>
      <c r="D46" s="13"/>
      <c r="E46" s="4"/>
      <c r="F46" s="4"/>
    </row>
    <row r="47" spans="2:6" x14ac:dyDescent="0.2">
      <c r="B47" s="27" t="s">
        <v>44</v>
      </c>
      <c r="C47" s="30">
        <v>45333268.32</v>
      </c>
      <c r="D47" s="13"/>
      <c r="F47" s="4"/>
    </row>
    <row r="48" spans="2:6" x14ac:dyDescent="0.2">
      <c r="C48" s="1"/>
      <c r="D48" s="14">
        <f>SUM(C42:C47)</f>
        <v>7562445856.4900017</v>
      </c>
      <c r="E48" s="4"/>
      <c r="F48" s="4"/>
    </row>
    <row r="49" spans="1:7" x14ac:dyDescent="0.2">
      <c r="C49" s="4"/>
      <c r="D49" s="15"/>
      <c r="F49" s="4"/>
    </row>
    <row r="50" spans="1:7" ht="15.75" thickBot="1" x14ac:dyDescent="0.3">
      <c r="B50" s="16" t="s">
        <v>29</v>
      </c>
      <c r="D50" s="17">
        <f>SUM(D17:D48)</f>
        <v>9060475662.7800026</v>
      </c>
      <c r="E50" s="4"/>
      <c r="F50" s="4"/>
    </row>
    <row r="51" spans="1:7" ht="16.5" thickTop="1" x14ac:dyDescent="0.25">
      <c r="A51" s="3" t="s">
        <v>30</v>
      </c>
      <c r="C51" s="1"/>
      <c r="D51" s="1"/>
      <c r="E51" s="1"/>
      <c r="F51" s="4"/>
    </row>
    <row r="52" spans="1:7" s="18" customFormat="1" x14ac:dyDescent="0.2">
      <c r="D52" s="20"/>
      <c r="E52" s="11"/>
      <c r="F52" s="11"/>
      <c r="G52" s="11"/>
    </row>
    <row r="53" spans="1:7" s="18" customFormat="1" x14ac:dyDescent="0.2">
      <c r="B53" s="21" t="s">
        <v>31</v>
      </c>
      <c r="C53" s="11"/>
      <c r="F53" s="11"/>
      <c r="G53" s="11"/>
    </row>
    <row r="54" spans="1:7" s="18" customFormat="1" x14ac:dyDescent="0.2">
      <c r="B54" s="18" t="s">
        <v>40</v>
      </c>
      <c r="C54" s="11">
        <v>928668506.61000001</v>
      </c>
      <c r="F54" s="11"/>
      <c r="G54" s="11"/>
    </row>
    <row r="55" spans="1:7" s="18" customFormat="1" x14ac:dyDescent="0.2">
      <c r="B55" s="18" t="s">
        <v>32</v>
      </c>
      <c r="C55" s="11">
        <v>6894292.6600000001</v>
      </c>
      <c r="D55" s="20"/>
      <c r="F55" s="11"/>
      <c r="G55" s="11"/>
    </row>
    <row r="56" spans="1:7" s="18" customFormat="1" x14ac:dyDescent="0.2">
      <c r="B56" s="29" t="s">
        <v>33</v>
      </c>
      <c r="C56" s="11">
        <v>999897.93</v>
      </c>
      <c r="D56" s="25"/>
      <c r="E56" s="20"/>
      <c r="F56" s="11"/>
      <c r="G56" s="11"/>
    </row>
    <row r="57" spans="1:7" s="18" customFormat="1" x14ac:dyDescent="0.2">
      <c r="B57" s="29" t="s">
        <v>34</v>
      </c>
      <c r="C57" s="11">
        <v>6971454311.3800001</v>
      </c>
      <c r="D57" s="11"/>
      <c r="F57" s="11"/>
      <c r="G57" s="11"/>
    </row>
    <row r="58" spans="1:7" s="18" customFormat="1" x14ac:dyDescent="0.2">
      <c r="B58" s="29" t="s">
        <v>35</v>
      </c>
      <c r="C58" s="11">
        <v>927740167.41999996</v>
      </c>
      <c r="D58" s="11"/>
      <c r="E58" s="20"/>
      <c r="F58" s="26"/>
      <c r="G58" s="11"/>
    </row>
    <row r="59" spans="1:7" s="18" customFormat="1" x14ac:dyDescent="0.2">
      <c r="B59" s="29" t="s">
        <v>36</v>
      </c>
      <c r="C59" s="11">
        <v>24560288.91</v>
      </c>
      <c r="F59" s="11"/>
      <c r="G59" s="11"/>
    </row>
    <row r="60" spans="1:7" s="18" customFormat="1" x14ac:dyDescent="0.2">
      <c r="B60" s="29" t="s">
        <v>37</v>
      </c>
      <c r="C60" s="11">
        <v>7044659.46</v>
      </c>
      <c r="D60" s="20"/>
      <c r="E60" s="20"/>
      <c r="F60" s="11"/>
      <c r="G60" s="11"/>
    </row>
    <row r="61" spans="1:7" s="18" customFormat="1" x14ac:dyDescent="0.2">
      <c r="B61" s="29" t="s">
        <v>38</v>
      </c>
      <c r="C61" s="11">
        <f>928780.71+471407.92</f>
        <v>1400188.63</v>
      </c>
      <c r="F61" s="11"/>
      <c r="G61" s="11"/>
    </row>
    <row r="62" spans="1:7" s="18" customFormat="1" x14ac:dyDescent="0.2">
      <c r="B62" s="29" t="s">
        <v>47</v>
      </c>
      <c r="C62" s="11">
        <v>39356086.259999998</v>
      </c>
      <c r="F62" s="11"/>
      <c r="G62" s="11"/>
    </row>
    <row r="63" spans="1:7" s="18" customFormat="1" x14ac:dyDescent="0.2">
      <c r="B63" s="29" t="s">
        <v>55</v>
      </c>
      <c r="C63" s="11">
        <v>32343.62</v>
      </c>
      <c r="F63" s="11"/>
      <c r="G63" s="11"/>
    </row>
    <row r="64" spans="1:7" s="18" customFormat="1" x14ac:dyDescent="0.2">
      <c r="B64" s="29" t="s">
        <v>52</v>
      </c>
      <c r="C64" s="11">
        <f>4500000+1500000</f>
        <v>6000000</v>
      </c>
      <c r="F64" s="11"/>
      <c r="G64" s="11"/>
    </row>
    <row r="65" spans="2:7" s="18" customFormat="1" ht="16.5" customHeight="1" thickBot="1" x14ac:dyDescent="0.25">
      <c r="B65" s="23" t="s">
        <v>39</v>
      </c>
      <c r="D65" s="24">
        <f>SUM(C54:C64)</f>
        <v>8914150742.8799992</v>
      </c>
      <c r="E65" s="20"/>
      <c r="F65" s="11"/>
      <c r="G65" s="11"/>
    </row>
    <row r="66" spans="2:7" s="18" customFormat="1" ht="13.5" thickTop="1" x14ac:dyDescent="0.2">
      <c r="C66" s="20"/>
      <c r="D66" s="20"/>
      <c r="F66" s="11"/>
      <c r="G66" s="11"/>
    </row>
    <row r="67" spans="2:7" s="18" customFormat="1" x14ac:dyDescent="0.2">
      <c r="C67" s="20"/>
      <c r="D67" s="20"/>
      <c r="F67" s="20"/>
      <c r="G67" s="11"/>
    </row>
    <row r="68" spans="2:7" s="18" customFormat="1" x14ac:dyDescent="0.2">
      <c r="C68" s="20"/>
      <c r="D68" s="20"/>
      <c r="G68" s="11"/>
    </row>
    <row r="69" spans="2:7" s="18" customFormat="1" x14ac:dyDescent="0.2">
      <c r="D69" s="20"/>
      <c r="G69" s="11"/>
    </row>
    <row r="70" spans="2:7" x14ac:dyDescent="0.2">
      <c r="D70" s="1"/>
    </row>
    <row r="71" spans="2:7" x14ac:dyDescent="0.2">
      <c r="D71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3767-ECC5-402A-9F92-16318C8FA892}">
  <sheetPr>
    <tabColor indexed="13"/>
    <pageSetUpPr fitToPage="1"/>
  </sheetPr>
  <dimension ref="A1:G72"/>
  <sheetViews>
    <sheetView zoomScale="120" zoomScaleNormal="120" zoomScaleSheetLayoutView="100" workbookViewId="0">
      <selection activeCell="B5" sqref="B5"/>
    </sheetView>
  </sheetViews>
  <sheetFormatPr defaultRowHeight="12.75" x14ac:dyDescent="0.2"/>
  <cols>
    <col min="1" max="1" width="11.7109375" style="37" customWidth="1"/>
    <col min="2" max="2" width="50.5703125" style="37" customWidth="1"/>
    <col min="3" max="3" width="23" style="37" bestFit="1" customWidth="1"/>
    <col min="4" max="4" width="21.5703125" style="37" customWidth="1"/>
    <col min="5" max="5" width="17.7109375" style="37" bestFit="1" customWidth="1"/>
    <col min="6" max="6" width="17.42578125" style="37" bestFit="1" customWidth="1"/>
    <col min="7" max="7" width="17.7109375" style="38" bestFit="1" customWidth="1"/>
    <col min="8" max="16384" width="9.140625" style="37"/>
  </cols>
  <sheetData>
    <row r="1" spans="1:5" ht="20.25" x14ac:dyDescent="0.3">
      <c r="A1" s="72" t="s">
        <v>1</v>
      </c>
      <c r="B1" s="72"/>
      <c r="C1" s="72"/>
      <c r="D1" s="72"/>
    </row>
    <row r="2" spans="1:5" ht="20.25" x14ac:dyDescent="0.3">
      <c r="A2" s="72" t="s">
        <v>3</v>
      </c>
      <c r="B2" s="72"/>
      <c r="C2" s="72"/>
      <c r="D2" s="72"/>
    </row>
    <row r="3" spans="1:5" ht="26.25" customHeight="1" x14ac:dyDescent="0.3">
      <c r="A3" s="72" t="s">
        <v>4</v>
      </c>
      <c r="B3" s="72"/>
      <c r="C3" s="72"/>
      <c r="D3" s="72"/>
    </row>
    <row r="4" spans="1:5" ht="20.25" x14ac:dyDescent="0.3">
      <c r="A4" s="72" t="s">
        <v>63</v>
      </c>
      <c r="B4" s="72"/>
      <c r="C4" s="72"/>
      <c r="D4" s="72"/>
    </row>
    <row r="5" spans="1:5" ht="15.75" x14ac:dyDescent="0.25">
      <c r="A5" s="49" t="s">
        <v>5</v>
      </c>
    </row>
    <row r="7" spans="1:5" ht="15" x14ac:dyDescent="0.25">
      <c r="B7" s="59" t="s">
        <v>6</v>
      </c>
      <c r="C7" s="38"/>
      <c r="E7" s="38"/>
    </row>
    <row r="8" spans="1:5" ht="14.25" x14ac:dyDescent="0.2">
      <c r="B8" s="68" t="s">
        <v>7</v>
      </c>
      <c r="C8" s="38">
        <v>62783466.990000002</v>
      </c>
      <c r="D8" s="67" t="s">
        <v>8</v>
      </c>
      <c r="E8" s="38"/>
    </row>
    <row r="9" spans="1:5" ht="14.25" x14ac:dyDescent="0.2">
      <c r="B9" s="68" t="s">
        <v>48</v>
      </c>
      <c r="C9" s="38">
        <v>5176219.3</v>
      </c>
      <c r="D9" s="67"/>
      <c r="E9" s="38"/>
    </row>
    <row r="10" spans="1:5" ht="14.25" x14ac:dyDescent="0.2">
      <c r="B10" s="68" t="s">
        <v>49</v>
      </c>
      <c r="C10" s="38">
        <v>1729611.89</v>
      </c>
      <c r="D10" s="67"/>
      <c r="E10" s="38"/>
    </row>
    <row r="11" spans="1:5" x14ac:dyDescent="0.2">
      <c r="B11" s="37" t="s">
        <v>9</v>
      </c>
      <c r="C11" s="38">
        <v>57538994.810000002</v>
      </c>
      <c r="E11" s="38"/>
    </row>
    <row r="12" spans="1:5" x14ac:dyDescent="0.2">
      <c r="B12" s="56" t="s">
        <v>46</v>
      </c>
      <c r="C12" s="38">
        <v>307220.90000000002</v>
      </c>
      <c r="E12" s="38"/>
    </row>
    <row r="13" spans="1:5" x14ac:dyDescent="0.2">
      <c r="B13" s="37" t="s">
        <v>10</v>
      </c>
      <c r="C13" s="38">
        <v>3622937.37</v>
      </c>
      <c r="E13" s="38"/>
    </row>
    <row r="14" spans="1:5" x14ac:dyDescent="0.2">
      <c r="B14" s="37" t="s">
        <v>50</v>
      </c>
      <c r="C14" s="38">
        <v>28518339.41</v>
      </c>
    </row>
    <row r="15" spans="1:5" x14ac:dyDescent="0.2">
      <c r="B15" s="37" t="s">
        <v>58</v>
      </c>
      <c r="C15" s="38">
        <v>56130.25</v>
      </c>
    </row>
    <row r="16" spans="1:5" x14ac:dyDescent="0.2">
      <c r="B16" s="37" t="s">
        <v>11</v>
      </c>
      <c r="C16" s="38">
        <v>1846999.65</v>
      </c>
    </row>
    <row r="17" spans="2:6" x14ac:dyDescent="0.2">
      <c r="B17" s="37" t="s">
        <v>57</v>
      </c>
      <c r="C17" s="38">
        <v>203033.04</v>
      </c>
      <c r="D17" s="66"/>
    </row>
    <row r="18" spans="2:6" x14ac:dyDescent="0.2">
      <c r="B18" s="37" t="s">
        <v>12</v>
      </c>
      <c r="C18" s="38">
        <v>166784.25</v>
      </c>
      <c r="D18" s="66"/>
    </row>
    <row r="19" spans="2:6" x14ac:dyDescent="0.2">
      <c r="B19" s="37" t="s">
        <v>42</v>
      </c>
      <c r="C19" s="38">
        <v>477896.6</v>
      </c>
      <c r="D19" s="66"/>
      <c r="E19" s="38"/>
    </row>
    <row r="20" spans="2:6" x14ac:dyDescent="0.2">
      <c r="B20" s="37" t="s">
        <v>41</v>
      </c>
      <c r="C20" s="38">
        <v>232167.51</v>
      </c>
      <c r="D20" s="66"/>
      <c r="E20" s="38"/>
    </row>
    <row r="21" spans="2:6" x14ac:dyDescent="0.2">
      <c r="B21" s="37" t="s">
        <v>56</v>
      </c>
      <c r="C21" s="38">
        <v>0</v>
      </c>
      <c r="D21" s="66"/>
      <c r="E21" s="38"/>
    </row>
    <row r="22" spans="2:6" x14ac:dyDescent="0.2">
      <c r="C22" s="38"/>
      <c r="D22" s="60">
        <f>SUM(C8:C21)</f>
        <v>162659801.97</v>
      </c>
      <c r="E22" s="38"/>
    </row>
    <row r="23" spans="2:6" x14ac:dyDescent="0.2">
      <c r="B23" s="65" t="s">
        <v>13</v>
      </c>
      <c r="C23" s="38"/>
      <c r="E23" s="38"/>
    </row>
    <row r="24" spans="2:6" x14ac:dyDescent="0.2">
      <c r="B24" s="37" t="s">
        <v>14</v>
      </c>
      <c r="C24" s="38">
        <v>1399224.3</v>
      </c>
      <c r="D24" s="64"/>
      <c r="E24" s="38"/>
      <c r="F24" s="38"/>
    </row>
    <row r="25" spans="2:6" x14ac:dyDescent="0.2">
      <c r="B25" s="37" t="s">
        <v>15</v>
      </c>
      <c r="C25" s="38">
        <v>681251.94</v>
      </c>
      <c r="D25" s="56"/>
      <c r="E25" s="38"/>
      <c r="F25" s="38"/>
    </row>
    <row r="26" spans="2:6" x14ac:dyDescent="0.2">
      <c r="D26" s="63">
        <f>SUM(C24:C25)</f>
        <v>2080476.24</v>
      </c>
      <c r="E26" s="38"/>
      <c r="F26" s="38"/>
    </row>
    <row r="27" spans="2:6" ht="15" x14ac:dyDescent="0.25">
      <c r="B27" s="59" t="s">
        <v>16</v>
      </c>
      <c r="C27" s="38"/>
      <c r="E27" s="38"/>
      <c r="F27" s="38"/>
    </row>
    <row r="28" spans="2:6" x14ac:dyDescent="0.2">
      <c r="B28" s="37" t="s">
        <v>17</v>
      </c>
      <c r="C28" s="55">
        <v>163062318.84999999</v>
      </c>
      <c r="D28" s="39"/>
      <c r="E28" s="38"/>
      <c r="F28" s="38"/>
    </row>
    <row r="29" spans="2:6" x14ac:dyDescent="0.2">
      <c r="B29" s="37" t="s">
        <v>18</v>
      </c>
      <c r="C29" s="55">
        <v>804264879.35000002</v>
      </c>
      <c r="D29" s="39"/>
      <c r="E29" s="38"/>
      <c r="F29" s="38"/>
    </row>
    <row r="30" spans="2:6" x14ac:dyDescent="0.2">
      <c r="B30" s="61" t="s">
        <v>19</v>
      </c>
      <c r="C30" s="55">
        <f>244290939.52-6.6-131.53</f>
        <v>244290801.39000002</v>
      </c>
      <c r="D30" s="39"/>
      <c r="E30" s="38"/>
      <c r="F30" s="38"/>
    </row>
    <row r="31" spans="2:6" x14ac:dyDescent="0.2">
      <c r="B31" s="61" t="s">
        <v>20</v>
      </c>
      <c r="C31" s="55">
        <v>21389209.370000001</v>
      </c>
      <c r="E31" s="38"/>
      <c r="F31" s="38"/>
    </row>
    <row r="32" spans="2:6" x14ac:dyDescent="0.2">
      <c r="B32" s="61" t="s">
        <v>21</v>
      </c>
      <c r="C32" s="55">
        <v>59607213.509999998</v>
      </c>
      <c r="E32" s="38"/>
      <c r="F32" s="38"/>
    </row>
    <row r="33" spans="2:6" x14ac:dyDescent="0.2">
      <c r="B33" s="61"/>
      <c r="D33" s="60">
        <f>SUM(C28:C32)</f>
        <v>1292614422.47</v>
      </c>
      <c r="E33" s="38"/>
      <c r="F33" s="38"/>
    </row>
    <row r="34" spans="2:6" ht="35.25" customHeight="1" x14ac:dyDescent="0.25">
      <c r="B34" s="62" t="s">
        <v>22</v>
      </c>
      <c r="C34" s="38"/>
      <c r="E34" s="38"/>
      <c r="F34" s="38"/>
    </row>
    <row r="35" spans="2:6" x14ac:dyDescent="0.2">
      <c r="B35" s="61" t="s">
        <v>23</v>
      </c>
      <c r="C35" s="55">
        <v>0</v>
      </c>
      <c r="D35" s="37" t="s">
        <v>2</v>
      </c>
      <c r="E35" s="38"/>
      <c r="F35" s="38"/>
    </row>
    <row r="36" spans="2:6" x14ac:dyDescent="0.2">
      <c r="B36" s="61" t="s">
        <v>24</v>
      </c>
      <c r="C36" s="55">
        <v>131.53</v>
      </c>
      <c r="E36" s="38"/>
      <c r="F36" s="38"/>
    </row>
    <row r="37" spans="2:6" x14ac:dyDescent="0.2">
      <c r="B37" s="61" t="s">
        <v>25</v>
      </c>
      <c r="C37" s="55">
        <f>11323436.03+668424.49</f>
        <v>11991860.52</v>
      </c>
      <c r="E37" s="38"/>
      <c r="F37" s="38"/>
    </row>
    <row r="38" spans="2:6" x14ac:dyDescent="0.2">
      <c r="B38" s="61" t="s">
        <v>45</v>
      </c>
      <c r="C38" s="55">
        <v>1100798.03</v>
      </c>
      <c r="E38" s="38"/>
      <c r="F38" s="38"/>
    </row>
    <row r="39" spans="2:6" x14ac:dyDescent="0.2">
      <c r="B39" s="61" t="s">
        <v>54</v>
      </c>
      <c r="C39" s="55">
        <v>0</v>
      </c>
      <c r="E39" s="38"/>
      <c r="F39" s="38"/>
    </row>
    <row r="40" spans="2:6" x14ac:dyDescent="0.2">
      <c r="B40" s="61" t="s">
        <v>26</v>
      </c>
      <c r="C40" s="55">
        <v>6.6</v>
      </c>
      <c r="E40" s="38"/>
      <c r="F40" s="38"/>
    </row>
    <row r="41" spans="2:6" x14ac:dyDescent="0.2">
      <c r="C41" s="41"/>
      <c r="D41" s="60">
        <f>SUM(C35:C40)</f>
        <v>13092796.679999998</v>
      </c>
      <c r="E41" s="38"/>
      <c r="F41" s="38"/>
    </row>
    <row r="42" spans="2:6" ht="15" x14ac:dyDescent="0.25">
      <c r="B42" s="59" t="s">
        <v>27</v>
      </c>
      <c r="C42" s="38"/>
      <c r="E42" s="38"/>
      <c r="F42" s="38"/>
    </row>
    <row r="43" spans="2:6" x14ac:dyDescent="0.2">
      <c r="B43" s="37" t="s">
        <v>28</v>
      </c>
      <c r="C43" s="55">
        <f>3902378222.55+800000000+1703453018.54+20000000+30439902.13</f>
        <v>6456271143.2200003</v>
      </c>
      <c r="D43" s="39"/>
      <c r="E43" s="38"/>
      <c r="F43" s="38"/>
    </row>
    <row r="44" spans="2:6" x14ac:dyDescent="0.2">
      <c r="B44" s="58" t="s">
        <v>51</v>
      </c>
      <c r="C44" s="57">
        <v>7207593.2599999998</v>
      </c>
      <c r="D44" s="39"/>
      <c r="E44" s="38"/>
      <c r="F44" s="38"/>
    </row>
    <row r="45" spans="2:6" x14ac:dyDescent="0.2">
      <c r="B45" s="37" t="s">
        <v>43</v>
      </c>
      <c r="C45" s="55">
        <v>0</v>
      </c>
      <c r="D45" s="39"/>
      <c r="E45" s="38"/>
      <c r="F45" s="38"/>
    </row>
    <row r="46" spans="2:6" x14ac:dyDescent="0.2">
      <c r="B46" s="37" t="s">
        <v>24</v>
      </c>
      <c r="C46" s="55">
        <v>154437946.66</v>
      </c>
      <c r="E46" s="38"/>
      <c r="F46" s="38"/>
    </row>
    <row r="47" spans="2:6" x14ac:dyDescent="0.2">
      <c r="B47" s="37" t="s">
        <v>0</v>
      </c>
      <c r="C47" s="55">
        <v>958398885.95000005</v>
      </c>
      <c r="D47" s="54"/>
      <c r="E47" s="38"/>
      <c r="F47" s="38"/>
    </row>
    <row r="48" spans="2:6" x14ac:dyDescent="0.2">
      <c r="B48" s="56" t="s">
        <v>44</v>
      </c>
      <c r="C48" s="55">
        <v>45698887.32</v>
      </c>
      <c r="D48" s="54"/>
      <c r="F48" s="38"/>
    </row>
    <row r="49" spans="1:7" x14ac:dyDescent="0.2">
      <c r="C49" s="39"/>
      <c r="D49" s="53">
        <f>SUM(C43:C48)</f>
        <v>7622014456.4099998</v>
      </c>
      <c r="E49" s="38"/>
      <c r="F49" s="38"/>
    </row>
    <row r="50" spans="1:7" x14ac:dyDescent="0.2">
      <c r="C50" s="38"/>
      <c r="D50" s="52"/>
      <c r="F50" s="38"/>
    </row>
    <row r="51" spans="1:7" ht="15.75" thickBot="1" x14ac:dyDescent="0.3">
      <c r="B51" s="51" t="s">
        <v>29</v>
      </c>
      <c r="D51" s="50">
        <f>SUM(D17:D49)</f>
        <v>9092461953.7700005</v>
      </c>
      <c r="E51" s="38"/>
      <c r="F51" s="38"/>
    </row>
    <row r="52" spans="1:7" ht="16.5" thickTop="1" x14ac:dyDescent="0.25">
      <c r="A52" s="49" t="s">
        <v>30</v>
      </c>
      <c r="C52" s="39"/>
      <c r="D52" s="39"/>
      <c r="E52" s="39"/>
      <c r="F52" s="38"/>
    </row>
    <row r="53" spans="1:7" s="40" customFormat="1" x14ac:dyDescent="0.2">
      <c r="D53" s="42"/>
      <c r="E53" s="41"/>
      <c r="F53" s="41"/>
      <c r="G53" s="41"/>
    </row>
    <row r="54" spans="1:7" s="40" customFormat="1" x14ac:dyDescent="0.2">
      <c r="B54" s="48" t="s">
        <v>31</v>
      </c>
      <c r="C54" s="41"/>
      <c r="F54" s="41"/>
      <c r="G54" s="41"/>
    </row>
    <row r="55" spans="1:7" s="40" customFormat="1" x14ac:dyDescent="0.2">
      <c r="B55" s="40" t="s">
        <v>40</v>
      </c>
      <c r="C55" s="41">
        <v>962028164.04999995</v>
      </c>
      <c r="F55" s="41"/>
      <c r="G55" s="41"/>
    </row>
    <row r="56" spans="1:7" s="40" customFormat="1" x14ac:dyDescent="0.2">
      <c r="B56" s="40" t="s">
        <v>32</v>
      </c>
      <c r="C56" s="41">
        <v>7254124.46</v>
      </c>
      <c r="D56" s="42"/>
      <c r="F56" s="41"/>
      <c r="G56" s="41"/>
    </row>
    <row r="57" spans="1:7" s="40" customFormat="1" x14ac:dyDescent="0.2">
      <c r="B57" s="45" t="s">
        <v>33</v>
      </c>
      <c r="C57" s="41">
        <v>1038552.65</v>
      </c>
      <c r="D57" s="47"/>
      <c r="E57" s="42"/>
      <c r="F57" s="41"/>
      <c r="G57" s="41"/>
    </row>
    <row r="58" spans="1:7" s="40" customFormat="1" x14ac:dyDescent="0.2">
      <c r="B58" s="45" t="s">
        <v>34</v>
      </c>
      <c r="C58" s="41">
        <v>7074130353.0799999</v>
      </c>
      <c r="D58" s="41"/>
      <c r="F58" s="41"/>
      <c r="G58" s="41"/>
    </row>
    <row r="59" spans="1:7" s="40" customFormat="1" x14ac:dyDescent="0.2">
      <c r="B59" s="45" t="s">
        <v>35</v>
      </c>
      <c r="C59" s="41">
        <v>959185598.77999997</v>
      </c>
      <c r="D59" s="41"/>
      <c r="E59" s="42"/>
      <c r="F59" s="46"/>
      <c r="G59" s="41"/>
    </row>
    <row r="60" spans="1:7" s="40" customFormat="1" x14ac:dyDescent="0.2">
      <c r="B60" s="45" t="s">
        <v>36</v>
      </c>
      <c r="C60" s="41">
        <v>33499148.829999998</v>
      </c>
      <c r="F60" s="41"/>
      <c r="G60" s="41"/>
    </row>
    <row r="61" spans="1:7" s="40" customFormat="1" x14ac:dyDescent="0.2">
      <c r="B61" s="45" t="s">
        <v>37</v>
      </c>
      <c r="C61" s="41">
        <v>7049829.6100000003</v>
      </c>
      <c r="D61" s="42"/>
      <c r="E61" s="42"/>
      <c r="F61" s="41"/>
      <c r="G61" s="41"/>
    </row>
    <row r="62" spans="1:7" s="40" customFormat="1" x14ac:dyDescent="0.2">
      <c r="B62" s="45" t="s">
        <v>38</v>
      </c>
      <c r="C62" s="41">
        <f>965865.16+510631.8</f>
        <v>1476496.96</v>
      </c>
      <c r="F62" s="41"/>
      <c r="G62" s="41"/>
    </row>
    <row r="63" spans="1:7" s="40" customFormat="1" x14ac:dyDescent="0.2">
      <c r="B63" s="45" t="s">
        <v>47</v>
      </c>
      <c r="C63" s="41">
        <v>39599685.350000001</v>
      </c>
      <c r="F63" s="41"/>
      <c r="G63" s="41"/>
    </row>
    <row r="64" spans="1:7" s="40" customFormat="1" x14ac:dyDescent="0.2">
      <c r="B64" s="45" t="s">
        <v>55</v>
      </c>
      <c r="C64" s="41">
        <v>0</v>
      </c>
      <c r="F64" s="41"/>
      <c r="G64" s="41"/>
    </row>
    <row r="65" spans="2:7" s="40" customFormat="1" x14ac:dyDescent="0.2">
      <c r="B65" s="45" t="s">
        <v>52</v>
      </c>
      <c r="C65" s="41">
        <f>5400000+1800000</f>
        <v>7200000</v>
      </c>
      <c r="F65" s="41"/>
      <c r="G65" s="41"/>
    </row>
    <row r="66" spans="2:7" s="40" customFormat="1" ht="16.5" customHeight="1" thickBot="1" x14ac:dyDescent="0.25">
      <c r="B66" s="44" t="s">
        <v>39</v>
      </c>
      <c r="D66" s="43">
        <f>SUM(C55:C65)</f>
        <v>9092461953.7700005</v>
      </c>
      <c r="E66" s="42"/>
      <c r="F66" s="41"/>
      <c r="G66" s="41"/>
    </row>
    <row r="67" spans="2:7" s="40" customFormat="1" ht="13.5" thickTop="1" x14ac:dyDescent="0.2">
      <c r="C67" s="42"/>
      <c r="D67" s="42"/>
      <c r="F67" s="41"/>
      <c r="G67" s="41"/>
    </row>
    <row r="68" spans="2:7" s="40" customFormat="1" x14ac:dyDescent="0.2">
      <c r="C68" s="42"/>
      <c r="D68" s="42"/>
      <c r="F68" s="42"/>
      <c r="G68" s="41"/>
    </row>
    <row r="69" spans="2:7" s="40" customFormat="1" x14ac:dyDescent="0.2">
      <c r="C69" s="42"/>
      <c r="D69" s="42"/>
      <c r="G69" s="41"/>
    </row>
    <row r="70" spans="2:7" s="40" customFormat="1" x14ac:dyDescent="0.2">
      <c r="D70" s="42"/>
      <c r="G70" s="41"/>
    </row>
    <row r="71" spans="2:7" x14ac:dyDescent="0.2">
      <c r="D71" s="39"/>
    </row>
    <row r="72" spans="2:7" x14ac:dyDescent="0.2">
      <c r="D72" s="39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CA5E-4365-4601-A475-A5E7FF41D43A}">
  <sheetPr>
    <tabColor indexed="13"/>
    <pageSetUpPr fitToPage="1"/>
  </sheetPr>
  <dimension ref="A1:G71"/>
  <sheetViews>
    <sheetView showGridLines="0" zoomScaleNormal="100" zoomScaleSheetLayoutView="100" workbookViewId="0">
      <selection activeCell="A67" sqref="A67"/>
    </sheetView>
  </sheetViews>
  <sheetFormatPr defaultRowHeight="12.75" x14ac:dyDescent="0.2"/>
  <cols>
    <col min="1" max="1" width="11.7109375" customWidth="1"/>
    <col min="2" max="2" width="42.8554687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64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62266279.280000001</v>
      </c>
      <c r="D8" s="6" t="s">
        <v>8</v>
      </c>
      <c r="E8" s="4"/>
    </row>
    <row r="9" spans="1:5" ht="14.25" x14ac:dyDescent="0.2">
      <c r="B9" s="5" t="s">
        <v>48</v>
      </c>
      <c r="C9" s="4">
        <v>115958.39999999999</v>
      </c>
      <c r="D9" s="6"/>
      <c r="E9" s="4"/>
    </row>
    <row r="10" spans="1:5" ht="14.25" x14ac:dyDescent="0.2">
      <c r="B10" s="5" t="s">
        <v>49</v>
      </c>
      <c r="C10" s="4">
        <v>966670.57</v>
      </c>
      <c r="D10" s="6"/>
      <c r="E10" s="4"/>
    </row>
    <row r="11" spans="1:5" x14ac:dyDescent="0.2">
      <c r="B11" t="s">
        <v>9</v>
      </c>
      <c r="C11" s="4">
        <v>91997964.859999999</v>
      </c>
      <c r="E11" s="4"/>
    </row>
    <row r="12" spans="1:5" x14ac:dyDescent="0.2">
      <c r="B12" s="27" t="s">
        <v>46</v>
      </c>
      <c r="C12" s="4">
        <v>572365.66</v>
      </c>
      <c r="E12" s="4"/>
    </row>
    <row r="13" spans="1:5" x14ac:dyDescent="0.2">
      <c r="B13" t="s">
        <v>10</v>
      </c>
      <c r="C13" s="4">
        <v>5246080.3099999996</v>
      </c>
      <c r="E13" s="4"/>
    </row>
    <row r="14" spans="1:5" x14ac:dyDescent="0.2">
      <c r="B14" t="s">
        <v>50</v>
      </c>
      <c r="C14" s="4">
        <v>21892410.899999999</v>
      </c>
    </row>
    <row r="15" spans="1:5" x14ac:dyDescent="0.2">
      <c r="B15" t="s">
        <v>58</v>
      </c>
      <c r="C15" s="4">
        <v>64593.74</v>
      </c>
    </row>
    <row r="16" spans="1:5" x14ac:dyDescent="0.2">
      <c r="B16" t="s">
        <v>11</v>
      </c>
      <c r="C16" s="4">
        <v>975911.2</v>
      </c>
    </row>
    <row r="17" spans="2:6" x14ac:dyDescent="0.2">
      <c r="B17" t="s">
        <v>57</v>
      </c>
      <c r="C17" s="4">
        <v>67700.679999999993</v>
      </c>
      <c r="D17" s="7"/>
    </row>
    <row r="18" spans="2:6" x14ac:dyDescent="0.2">
      <c r="B18" t="s">
        <v>12</v>
      </c>
      <c r="C18" s="4">
        <v>264085.40000000002</v>
      </c>
      <c r="D18" s="7"/>
    </row>
    <row r="19" spans="2:6" x14ac:dyDescent="0.2">
      <c r="B19" t="s">
        <v>42</v>
      </c>
      <c r="C19" s="4">
        <v>126514.15</v>
      </c>
      <c r="D19" s="7"/>
      <c r="E19" s="4"/>
    </row>
    <row r="20" spans="2:6" x14ac:dyDescent="0.2">
      <c r="B20" t="s">
        <v>41</v>
      </c>
      <c r="C20" s="4">
        <v>482018.27</v>
      </c>
      <c r="D20" s="7"/>
      <c r="E20" s="4"/>
    </row>
    <row r="21" spans="2:6" x14ac:dyDescent="0.2">
      <c r="B21" t="s">
        <v>56</v>
      </c>
      <c r="C21" s="4">
        <v>0</v>
      </c>
      <c r="D21" s="7"/>
      <c r="E21" s="4"/>
    </row>
    <row r="22" spans="2:6" x14ac:dyDescent="0.2">
      <c r="C22" s="4"/>
      <c r="D22" s="4">
        <f>SUM(C8:C21)</f>
        <v>185038553.42000005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2140446.91</v>
      </c>
      <c r="D24" s="36"/>
      <c r="E24" s="4"/>
      <c r="F24" s="4"/>
    </row>
    <row r="25" spans="2:6" x14ac:dyDescent="0.2">
      <c r="B25" t="s">
        <v>15</v>
      </c>
      <c r="C25" s="4">
        <v>1166895.17</v>
      </c>
      <c r="D25" s="27"/>
      <c r="E25" s="4"/>
      <c r="F25" s="4"/>
    </row>
    <row r="26" spans="2:6" x14ac:dyDescent="0.2">
      <c r="D26" s="8">
        <f>SUM(C24:C25)</f>
        <v>3307342.08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64571869.18</v>
      </c>
      <c r="D28" s="1"/>
      <c r="E28" s="4"/>
      <c r="F28" s="4"/>
    </row>
    <row r="29" spans="2:6" x14ac:dyDescent="0.2">
      <c r="B29" t="s">
        <v>18</v>
      </c>
      <c r="C29" s="30">
        <v>810316310.85000002</v>
      </c>
      <c r="D29" s="1"/>
      <c r="E29" s="4"/>
      <c r="F29" s="4"/>
    </row>
    <row r="30" spans="2:6" x14ac:dyDescent="0.2">
      <c r="B30" s="31" t="s">
        <v>19</v>
      </c>
      <c r="C30" s="30">
        <f>255798013.73-6.6-14072.82</f>
        <v>255783934.31</v>
      </c>
      <c r="D30" s="1"/>
      <c r="E30" s="4"/>
      <c r="F30" s="4"/>
    </row>
    <row r="31" spans="2:6" x14ac:dyDescent="0.2">
      <c r="B31" s="31" t="s">
        <v>20</v>
      </c>
      <c r="C31" s="30">
        <v>11642660.15</v>
      </c>
      <c r="E31" s="4"/>
      <c r="F31" s="4"/>
    </row>
    <row r="32" spans="2:6" x14ac:dyDescent="0.2">
      <c r="B32" s="31" t="s">
        <v>21</v>
      </c>
      <c r="C32" s="30">
        <v>59607213.509999998</v>
      </c>
      <c r="E32" s="4"/>
      <c r="F32" s="4"/>
    </row>
    <row r="33" spans="2:6" x14ac:dyDescent="0.2">
      <c r="B33" s="31"/>
      <c r="D33" s="12">
        <f>SUM(C28:C32)</f>
        <v>1201921988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14072.82</v>
      </c>
      <c r="E36" s="4"/>
      <c r="F36" s="4"/>
    </row>
    <row r="37" spans="2:6" x14ac:dyDescent="0.2">
      <c r="B37" s="31" t="s">
        <v>25</v>
      </c>
      <c r="C37" s="30">
        <f>11323436.03+535211.58</f>
        <v>11858647.609999999</v>
      </c>
      <c r="E37" s="4"/>
      <c r="F37" s="4"/>
    </row>
    <row r="38" spans="2:6" x14ac:dyDescent="0.2">
      <c r="B38" s="31" t="s">
        <v>45</v>
      </c>
      <c r="C38" s="30">
        <v>1413096.6</v>
      </c>
      <c r="E38" s="4"/>
      <c r="F38" s="4"/>
    </row>
    <row r="39" spans="2:6" x14ac:dyDescent="0.2">
      <c r="B39" s="31" t="s">
        <v>54</v>
      </c>
      <c r="C39" s="30">
        <v>0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13285823.629999999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4024535334.55+800000000+1605748218.45+20000000+30439902.13</f>
        <v>6480723455.1300001</v>
      </c>
      <c r="D43" s="1"/>
      <c r="E43" s="4"/>
      <c r="F43" s="4"/>
    </row>
    <row r="44" spans="2:6" x14ac:dyDescent="0.2">
      <c r="B44" s="33" t="s">
        <v>51</v>
      </c>
      <c r="C44" s="34">
        <v>1084267.58</v>
      </c>
      <c r="D44" s="1"/>
      <c r="E44" s="4"/>
      <c r="F44" s="4"/>
    </row>
    <row r="45" spans="2:6" x14ac:dyDescent="0.2">
      <c r="B45" t="s">
        <v>24</v>
      </c>
      <c r="C45" s="30">
        <v>157766206.27000001</v>
      </c>
      <c r="E45" s="4"/>
      <c r="F45" s="4"/>
    </row>
    <row r="46" spans="2:6" x14ac:dyDescent="0.2">
      <c r="B46" t="s">
        <v>0</v>
      </c>
      <c r="C46" s="30">
        <v>973877456.51999998</v>
      </c>
      <c r="D46" s="13"/>
      <c r="E46" s="4"/>
      <c r="F46" s="4"/>
    </row>
    <row r="47" spans="2:6" x14ac:dyDescent="0.2">
      <c r="B47" s="27" t="s">
        <v>44</v>
      </c>
      <c r="C47" s="30">
        <v>46070171.140000001</v>
      </c>
      <c r="D47" s="13"/>
      <c r="F47" s="4"/>
    </row>
    <row r="48" spans="2:6" x14ac:dyDescent="0.2">
      <c r="C48" s="1"/>
      <c r="D48" s="14">
        <f>SUM(C43:C47)</f>
        <v>7659521556.6400003</v>
      </c>
      <c r="E48" s="4"/>
      <c r="F48" s="4"/>
    </row>
    <row r="49" spans="1:7" x14ac:dyDescent="0.2">
      <c r="C49" s="4"/>
      <c r="D49" s="15"/>
      <c r="F49" s="4"/>
    </row>
    <row r="50" spans="1:7" ht="15.75" thickBot="1" x14ac:dyDescent="0.3">
      <c r="B50" s="16" t="s">
        <v>29</v>
      </c>
      <c r="D50" s="17">
        <f>SUM(D17:D48)</f>
        <v>9063075263.7700005</v>
      </c>
      <c r="E50" s="4"/>
      <c r="F50" s="4"/>
    </row>
    <row r="51" spans="1:7" ht="16.5" thickTop="1" x14ac:dyDescent="0.25">
      <c r="A51" s="3" t="s">
        <v>30</v>
      </c>
      <c r="C51" s="1"/>
      <c r="D51" s="1"/>
      <c r="E51" s="1"/>
      <c r="F51" s="4"/>
    </row>
    <row r="52" spans="1:7" s="18" customFormat="1" x14ac:dyDescent="0.2">
      <c r="D52" s="20"/>
      <c r="E52" s="11"/>
      <c r="F52" s="11"/>
      <c r="G52" s="11"/>
    </row>
    <row r="53" spans="1:7" s="18" customFormat="1" x14ac:dyDescent="0.2">
      <c r="B53" s="21" t="s">
        <v>31</v>
      </c>
      <c r="C53" s="11"/>
      <c r="F53" s="11"/>
      <c r="G53" s="11"/>
    </row>
    <row r="54" spans="1:7" s="18" customFormat="1" x14ac:dyDescent="0.2">
      <c r="B54" s="18" t="s">
        <v>40</v>
      </c>
      <c r="C54" s="11">
        <v>934220085.47000003</v>
      </c>
      <c r="F54" s="11"/>
      <c r="G54" s="11"/>
    </row>
    <row r="55" spans="1:7" s="18" customFormat="1" x14ac:dyDescent="0.2">
      <c r="B55" s="18" t="s">
        <v>32</v>
      </c>
      <c r="C55" s="11">
        <v>5254848.5999999996</v>
      </c>
      <c r="D55" s="20"/>
      <c r="F55" s="11"/>
      <c r="G55" s="11"/>
    </row>
    <row r="56" spans="1:7" s="18" customFormat="1" x14ac:dyDescent="0.2">
      <c r="B56" s="29" t="s">
        <v>33</v>
      </c>
      <c r="C56" s="11">
        <v>791907.17</v>
      </c>
      <c r="D56" s="25"/>
      <c r="E56" s="20"/>
      <c r="F56" s="11"/>
      <c r="G56" s="11"/>
    </row>
    <row r="57" spans="1:7" s="18" customFormat="1" x14ac:dyDescent="0.2">
      <c r="B57" s="29" t="s">
        <v>34</v>
      </c>
      <c r="C57" s="11">
        <v>7072869097.6899996</v>
      </c>
      <c r="D57" s="11"/>
      <c r="F57" s="11"/>
      <c r="G57" s="11"/>
    </row>
    <row r="58" spans="1:7" s="18" customFormat="1" x14ac:dyDescent="0.2">
      <c r="B58" s="29" t="s">
        <v>35</v>
      </c>
      <c r="C58" s="11">
        <v>975057127.11000001</v>
      </c>
      <c r="D58" s="11"/>
      <c r="E58" s="20"/>
      <c r="F58" s="26"/>
      <c r="G58" s="11"/>
    </row>
    <row r="59" spans="1:7" s="18" customFormat="1" x14ac:dyDescent="0.2">
      <c r="B59" s="29" t="s">
        <v>36</v>
      </c>
      <c r="C59" s="11">
        <v>20832664.09</v>
      </c>
      <c r="F59" s="11"/>
      <c r="G59" s="11"/>
    </row>
    <row r="60" spans="1:7" s="18" customFormat="1" x14ac:dyDescent="0.2">
      <c r="B60" s="29" t="s">
        <v>37</v>
      </c>
      <c r="C60" s="11">
        <v>5476033.5099999998</v>
      </c>
      <c r="D60" s="20"/>
      <c r="E60" s="20"/>
      <c r="F60" s="11"/>
      <c r="G60" s="11"/>
    </row>
    <row r="61" spans="1:7" s="18" customFormat="1" x14ac:dyDescent="0.2">
      <c r="B61" s="29" t="s">
        <v>38</v>
      </c>
      <c r="C61" s="11">
        <f>731607.44+358624.95</f>
        <v>1090232.3899999999</v>
      </c>
      <c r="F61" s="11"/>
      <c r="G61" s="11"/>
    </row>
    <row r="62" spans="1:7" s="18" customFormat="1" x14ac:dyDescent="0.2">
      <c r="B62" s="29" t="s">
        <v>47</v>
      </c>
      <c r="C62" s="11">
        <v>39683267.740000002</v>
      </c>
      <c r="F62" s="11"/>
      <c r="G62" s="11"/>
    </row>
    <row r="63" spans="1:7" s="18" customFormat="1" x14ac:dyDescent="0.2">
      <c r="B63" s="29" t="s">
        <v>55</v>
      </c>
      <c r="C63" s="11">
        <v>0</v>
      </c>
      <c r="F63" s="11"/>
      <c r="G63" s="11"/>
    </row>
    <row r="64" spans="1:7" s="18" customFormat="1" x14ac:dyDescent="0.2">
      <c r="B64" s="29" t="s">
        <v>52</v>
      </c>
      <c r="C64" s="11">
        <f>5850000+1950000</f>
        <v>7800000</v>
      </c>
      <c r="F64" s="11"/>
      <c r="G64" s="11"/>
    </row>
    <row r="65" spans="2:7" s="18" customFormat="1" ht="16.5" customHeight="1" thickBot="1" x14ac:dyDescent="0.25">
      <c r="B65" s="23" t="s">
        <v>39</v>
      </c>
      <c r="D65" s="24">
        <f>SUM(C54:C64)</f>
        <v>9063075263.7699986</v>
      </c>
      <c r="E65" s="20"/>
      <c r="F65" s="11"/>
      <c r="G65" s="11"/>
    </row>
    <row r="66" spans="2:7" s="18" customFormat="1" ht="13.5" thickTop="1" x14ac:dyDescent="0.2">
      <c r="C66" s="20"/>
      <c r="D66" s="20"/>
      <c r="F66" s="11"/>
      <c r="G66" s="11"/>
    </row>
    <row r="67" spans="2:7" s="18" customFormat="1" x14ac:dyDescent="0.2">
      <c r="C67" s="20"/>
      <c r="D67" s="20"/>
      <c r="F67" s="20"/>
      <c r="G67" s="11"/>
    </row>
    <row r="68" spans="2:7" s="18" customFormat="1" x14ac:dyDescent="0.2">
      <c r="C68" s="20"/>
      <c r="D68" s="20"/>
      <c r="G68" s="11"/>
    </row>
    <row r="69" spans="2:7" s="18" customFormat="1" x14ac:dyDescent="0.2">
      <c r="D69" s="20"/>
      <c r="G69" s="11"/>
    </row>
    <row r="70" spans="2:7" x14ac:dyDescent="0.2">
      <c r="D70" s="1"/>
    </row>
    <row r="71" spans="2:7" x14ac:dyDescent="0.2">
      <c r="D71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6C04-FE49-47A8-AC53-9F919F01DADF}">
  <sheetPr>
    <tabColor indexed="13"/>
    <pageSetUpPr fitToPage="1"/>
  </sheetPr>
  <dimension ref="A1:G72"/>
  <sheetViews>
    <sheetView showGridLines="0" zoomScale="110" zoomScaleNormal="110" zoomScaleSheetLayoutView="100" workbookViewId="0">
      <selection activeCell="D66" sqref="D66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65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116298680.03</v>
      </c>
      <c r="D8" s="6" t="s">
        <v>8</v>
      </c>
      <c r="E8" s="4"/>
    </row>
    <row r="9" spans="1:5" ht="14.25" x14ac:dyDescent="0.2">
      <c r="B9" s="5" t="s">
        <v>48</v>
      </c>
      <c r="C9" s="4">
        <v>0</v>
      </c>
      <c r="D9" s="6"/>
      <c r="E9" s="4"/>
    </row>
    <row r="10" spans="1:5" ht="14.25" x14ac:dyDescent="0.2">
      <c r="B10" s="5" t="s">
        <v>49</v>
      </c>
      <c r="C10" s="4">
        <v>1700058.74</v>
      </c>
      <c r="D10" s="6"/>
      <c r="E10" s="4"/>
    </row>
    <row r="11" spans="1:5" x14ac:dyDescent="0.2">
      <c r="B11" t="s">
        <v>9</v>
      </c>
      <c r="C11" s="4">
        <v>99011208.769999996</v>
      </c>
      <c r="E11" s="4"/>
    </row>
    <row r="12" spans="1:5" x14ac:dyDescent="0.2">
      <c r="B12" s="27" t="s">
        <v>46</v>
      </c>
      <c r="C12" s="4">
        <v>43537</v>
      </c>
      <c r="E12" s="4"/>
    </row>
    <row r="13" spans="1:5" x14ac:dyDescent="0.2">
      <c r="B13" t="s">
        <v>10</v>
      </c>
      <c r="C13" s="4">
        <v>3047754.13</v>
      </c>
      <c r="E13" s="4"/>
    </row>
    <row r="14" spans="1:5" x14ac:dyDescent="0.2">
      <c r="B14" t="s">
        <v>50</v>
      </c>
      <c r="C14" s="4">
        <v>30588155.739999998</v>
      </c>
    </row>
    <row r="15" spans="1:5" x14ac:dyDescent="0.2">
      <c r="B15" t="s">
        <v>58</v>
      </c>
      <c r="C15" s="4">
        <v>85690.39</v>
      </c>
    </row>
    <row r="16" spans="1:5" x14ac:dyDescent="0.2">
      <c r="B16" t="s">
        <v>11</v>
      </c>
      <c r="C16" s="4">
        <v>1256251.43</v>
      </c>
    </row>
    <row r="17" spans="2:6" x14ac:dyDescent="0.2">
      <c r="B17" t="s">
        <v>57</v>
      </c>
      <c r="C17" s="4">
        <v>111674.28</v>
      </c>
      <c r="D17" s="7"/>
    </row>
    <row r="18" spans="2:6" x14ac:dyDescent="0.2">
      <c r="B18" t="s">
        <v>12</v>
      </c>
      <c r="C18" s="4">
        <v>207748.94</v>
      </c>
      <c r="D18" s="7"/>
    </row>
    <row r="19" spans="2:6" x14ac:dyDescent="0.2">
      <c r="B19" t="s">
        <v>42</v>
      </c>
      <c r="C19" s="4">
        <v>282645.2</v>
      </c>
      <c r="D19" s="7"/>
      <c r="E19" s="4"/>
    </row>
    <row r="20" spans="2:6" x14ac:dyDescent="0.2">
      <c r="B20" t="s">
        <v>41</v>
      </c>
      <c r="C20" s="4">
        <v>160191.31</v>
      </c>
      <c r="D20" s="7"/>
      <c r="E20" s="4"/>
    </row>
    <row r="21" spans="2:6" x14ac:dyDescent="0.2">
      <c r="B21" t="s">
        <v>56</v>
      </c>
      <c r="C21" s="4">
        <v>0</v>
      </c>
      <c r="D21" s="7"/>
      <c r="E21" s="4"/>
    </row>
    <row r="22" spans="2:6" x14ac:dyDescent="0.2">
      <c r="C22" s="4"/>
      <c r="D22" s="4">
        <f>SUM(C8:C21)</f>
        <v>252793595.95999998</v>
      </c>
      <c r="E22" s="4"/>
    </row>
    <row r="23" spans="2:6" x14ac:dyDescent="0.2">
      <c r="B23" s="9" t="s">
        <v>13</v>
      </c>
      <c r="C23" s="4"/>
      <c r="E23" s="4"/>
    </row>
    <row r="24" spans="2:6" x14ac:dyDescent="0.2">
      <c r="B24" t="s">
        <v>14</v>
      </c>
      <c r="C24" s="4">
        <v>2254015.4700000002</v>
      </c>
      <c r="D24" s="36"/>
      <c r="E24" s="4"/>
      <c r="F24" s="4"/>
    </row>
    <row r="25" spans="2:6" x14ac:dyDescent="0.2">
      <c r="B25" t="s">
        <v>15</v>
      </c>
      <c r="C25" s="4">
        <f>2325920.85-12892.64</f>
        <v>2313028.21</v>
      </c>
      <c r="D25" s="27"/>
      <c r="E25" s="4"/>
      <c r="F25" s="4"/>
    </row>
    <row r="26" spans="2:6" x14ac:dyDescent="0.2">
      <c r="D26" s="8">
        <f>SUM(C24:C25)</f>
        <v>4567043.68</v>
      </c>
      <c r="E26" s="4"/>
      <c r="F26" s="4"/>
    </row>
    <row r="27" spans="2:6" ht="15" x14ac:dyDescent="0.25">
      <c r="B27" s="2" t="s">
        <v>16</v>
      </c>
      <c r="C27" s="4"/>
      <c r="E27" s="4"/>
      <c r="F27" s="4"/>
    </row>
    <row r="28" spans="2:6" x14ac:dyDescent="0.2">
      <c r="B28" t="s">
        <v>17</v>
      </c>
      <c r="C28" s="30">
        <v>113298009.47</v>
      </c>
      <c r="D28" s="1"/>
      <c r="E28" s="4"/>
      <c r="F28" s="4"/>
    </row>
    <row r="29" spans="2:6" x14ac:dyDescent="0.2">
      <c r="B29" t="s">
        <v>18</v>
      </c>
      <c r="C29" s="30">
        <v>821609158.12</v>
      </c>
      <c r="D29" s="1"/>
      <c r="E29" s="4"/>
      <c r="F29" s="4"/>
    </row>
    <row r="30" spans="2:6" x14ac:dyDescent="0.2">
      <c r="B30" s="31" t="s">
        <v>19</v>
      </c>
      <c r="C30" s="30">
        <f>279957629.45-6.6-1760.84</f>
        <v>279955862.00999999</v>
      </c>
      <c r="D30" s="1"/>
      <c r="E30" s="4"/>
      <c r="F30" s="4"/>
    </row>
    <row r="31" spans="2:6" x14ac:dyDescent="0.2">
      <c r="B31" s="31" t="s">
        <v>20</v>
      </c>
      <c r="C31" s="30">
        <v>10569317.4</v>
      </c>
      <c r="E31" s="4"/>
      <c r="F31" s="4"/>
    </row>
    <row r="32" spans="2:6" x14ac:dyDescent="0.2">
      <c r="B32" s="31" t="s">
        <v>21</v>
      </c>
      <c r="C32" s="30">
        <v>59601923.479999997</v>
      </c>
      <c r="E32" s="4"/>
      <c r="F32" s="4"/>
    </row>
    <row r="33" spans="2:6" x14ac:dyDescent="0.2">
      <c r="B33" s="31"/>
      <c r="D33" s="12">
        <f>SUM(C28:C32)</f>
        <v>1285034270.48</v>
      </c>
      <c r="E33" s="4"/>
      <c r="F33" s="4"/>
    </row>
    <row r="34" spans="2:6" ht="35.25" customHeight="1" x14ac:dyDescent="0.25">
      <c r="B34" s="32" t="s">
        <v>22</v>
      </c>
      <c r="C34" s="4"/>
      <c r="E34" s="4"/>
      <c r="F34" s="4"/>
    </row>
    <row r="35" spans="2:6" x14ac:dyDescent="0.2">
      <c r="B35" s="31" t="s">
        <v>23</v>
      </c>
      <c r="C35" s="30">
        <v>0</v>
      </c>
      <c r="D35" t="s">
        <v>2</v>
      </c>
      <c r="E35" s="4"/>
      <c r="F35" s="4"/>
    </row>
    <row r="36" spans="2:6" x14ac:dyDescent="0.2">
      <c r="B36" s="31" t="s">
        <v>24</v>
      </c>
      <c r="C36" s="30">
        <v>1760.84</v>
      </c>
      <c r="E36" s="4"/>
      <c r="F36" s="4"/>
    </row>
    <row r="37" spans="2:6" x14ac:dyDescent="0.2">
      <c r="B37" s="31" t="s">
        <v>25</v>
      </c>
      <c r="C37" s="30">
        <f>11323436.03+517613.36</f>
        <v>11841049.389999999</v>
      </c>
      <c r="E37" s="4"/>
      <c r="F37" s="4"/>
    </row>
    <row r="38" spans="2:6" x14ac:dyDescent="0.2">
      <c r="B38" s="31" t="s">
        <v>45</v>
      </c>
      <c r="C38" s="30">
        <v>1315037.5900000001</v>
      </c>
      <c r="E38" s="4"/>
      <c r="F38" s="4"/>
    </row>
    <row r="39" spans="2:6" x14ac:dyDescent="0.2">
      <c r="B39" s="31" t="s">
        <v>54</v>
      </c>
      <c r="C39" s="30">
        <v>25502.23</v>
      </c>
      <c r="E39" s="4"/>
      <c r="F39" s="4"/>
    </row>
    <row r="40" spans="2:6" x14ac:dyDescent="0.2">
      <c r="B40" s="31" t="s">
        <v>26</v>
      </c>
      <c r="C40" s="30">
        <v>6.6</v>
      </c>
      <c r="E40" s="4"/>
      <c r="F40" s="4"/>
    </row>
    <row r="41" spans="2:6" x14ac:dyDescent="0.2">
      <c r="C41" s="11"/>
      <c r="D41" s="12">
        <f>SUM(C35:C40)</f>
        <v>13183356.649999999</v>
      </c>
      <c r="E41" s="4"/>
      <c r="F41" s="4"/>
    </row>
    <row r="42" spans="2:6" ht="15" x14ac:dyDescent="0.25">
      <c r="B42" s="2" t="s">
        <v>27</v>
      </c>
      <c r="C42" s="4"/>
      <c r="E42" s="4"/>
      <c r="F42" s="4"/>
    </row>
    <row r="43" spans="2:6" x14ac:dyDescent="0.2">
      <c r="B43" t="s">
        <v>28</v>
      </c>
      <c r="C43" s="30">
        <f>4715533048.04+500000000+1238875162.66+20000000+30481854.23</f>
        <v>6504890064.9299994</v>
      </c>
      <c r="D43" s="1"/>
      <c r="E43" s="4"/>
      <c r="F43" s="4"/>
    </row>
    <row r="44" spans="2:6" x14ac:dyDescent="0.2">
      <c r="B44" s="33" t="s">
        <v>51</v>
      </c>
      <c r="C44" s="34">
        <v>875341.53</v>
      </c>
      <c r="D44" s="1"/>
      <c r="E44" s="4"/>
      <c r="F44" s="4"/>
    </row>
    <row r="45" spans="2:6" x14ac:dyDescent="0.2">
      <c r="B45" t="s">
        <v>43</v>
      </c>
      <c r="C45" s="30">
        <v>0</v>
      </c>
      <c r="D45" s="1"/>
      <c r="E45" s="4"/>
      <c r="F45" s="4"/>
    </row>
    <row r="46" spans="2:6" x14ac:dyDescent="0.2">
      <c r="B46" t="s">
        <v>24</v>
      </c>
      <c r="C46" s="30">
        <v>163155838.91</v>
      </c>
      <c r="E46" s="4"/>
      <c r="F46" s="4"/>
    </row>
    <row r="47" spans="2:6" x14ac:dyDescent="0.2">
      <c r="B47" t="s">
        <v>0</v>
      </c>
      <c r="C47" s="30">
        <v>1003477530.64</v>
      </c>
      <c r="D47" s="13"/>
      <c r="E47" s="4"/>
      <c r="F47" s="4"/>
    </row>
    <row r="48" spans="2:6" x14ac:dyDescent="0.2">
      <c r="B48" s="27" t="s">
        <v>44</v>
      </c>
      <c r="C48" s="30">
        <v>46434011.380000003</v>
      </c>
      <c r="D48" s="13"/>
      <c r="F48" s="4"/>
    </row>
    <row r="49" spans="1:7" x14ac:dyDescent="0.2">
      <c r="C49" s="1"/>
      <c r="D49" s="14">
        <f>SUM(C43:C48)</f>
        <v>7718832787.3899994</v>
      </c>
      <c r="E49" s="4"/>
      <c r="F49" s="4"/>
    </row>
    <row r="50" spans="1:7" x14ac:dyDescent="0.2">
      <c r="C50" s="4"/>
      <c r="D50" s="15"/>
      <c r="F50" s="4"/>
    </row>
    <row r="51" spans="1:7" ht="15.75" thickBot="1" x14ac:dyDescent="0.3">
      <c r="B51" s="16" t="s">
        <v>29</v>
      </c>
      <c r="D51" s="17">
        <f>SUM(D17:D49)</f>
        <v>9274411054.1599998</v>
      </c>
      <c r="E51" s="4"/>
      <c r="F51" s="4"/>
    </row>
    <row r="52" spans="1:7" ht="16.5" thickTop="1" x14ac:dyDescent="0.25">
      <c r="A52" s="3" t="s">
        <v>30</v>
      </c>
      <c r="C52" s="1"/>
      <c r="D52" s="20"/>
      <c r="E52" s="1"/>
      <c r="F52" s="4"/>
    </row>
    <row r="53" spans="1:7" s="18" customFormat="1" x14ac:dyDescent="0.2">
      <c r="D53" s="20"/>
      <c r="E53" s="11"/>
      <c r="F53" s="11"/>
      <c r="G53" s="11"/>
    </row>
    <row r="54" spans="1:7" s="18" customFormat="1" x14ac:dyDescent="0.2">
      <c r="B54" s="21" t="s">
        <v>31</v>
      </c>
      <c r="C54" s="11"/>
      <c r="F54" s="11"/>
      <c r="G54" s="11"/>
    </row>
    <row r="55" spans="1:7" s="18" customFormat="1" x14ac:dyDescent="0.2">
      <c r="B55" s="18" t="s">
        <v>40</v>
      </c>
      <c r="C55" s="11">
        <v>998351829.39999998</v>
      </c>
      <c r="F55" s="11"/>
      <c r="G55" s="11"/>
    </row>
    <row r="56" spans="1:7" s="18" customFormat="1" x14ac:dyDescent="0.2">
      <c r="B56" s="18" t="s">
        <v>32</v>
      </c>
      <c r="C56" s="11">
        <v>7434317.1500000004</v>
      </c>
      <c r="D56" s="20"/>
      <c r="F56" s="11"/>
      <c r="G56" s="11"/>
    </row>
    <row r="57" spans="1:7" s="18" customFormat="1" x14ac:dyDescent="0.2">
      <c r="B57" s="29" t="s">
        <v>33</v>
      </c>
      <c r="C57" s="11">
        <v>1184135.8600000001</v>
      </c>
      <c r="D57" s="25"/>
      <c r="E57" s="20"/>
      <c r="F57" s="11"/>
      <c r="G57" s="11"/>
    </row>
    <row r="58" spans="1:7" s="18" customFormat="1" x14ac:dyDescent="0.2">
      <c r="B58" s="29" t="s">
        <v>34</v>
      </c>
      <c r="C58" s="11">
        <v>7180801408.2799997</v>
      </c>
      <c r="D58" s="11"/>
      <c r="F58" s="11"/>
      <c r="G58" s="11"/>
    </row>
    <row r="59" spans="1:7" s="18" customFormat="1" x14ac:dyDescent="0.2">
      <c r="B59" s="29" t="s">
        <v>35</v>
      </c>
      <c r="C59" s="11">
        <v>1004838169.88</v>
      </c>
      <c r="D59" s="11"/>
      <c r="E59" s="20"/>
      <c r="F59" s="26"/>
      <c r="G59" s="11"/>
    </row>
    <row r="60" spans="1:7" s="18" customFormat="1" x14ac:dyDescent="0.2">
      <c r="B60" s="29" t="s">
        <v>36</v>
      </c>
      <c r="C60" s="11">
        <v>24774102.43</v>
      </c>
      <c r="F60" s="11"/>
      <c r="G60" s="11"/>
    </row>
    <row r="61" spans="1:7" s="18" customFormat="1" x14ac:dyDescent="0.2">
      <c r="B61" s="29" t="s">
        <v>37</v>
      </c>
      <c r="C61" s="11">
        <v>7573146.7999999998</v>
      </c>
      <c r="D61" s="20"/>
      <c r="E61" s="20"/>
      <c r="F61" s="11"/>
      <c r="G61" s="11"/>
    </row>
    <row r="62" spans="1:7" s="18" customFormat="1" x14ac:dyDescent="0.2">
      <c r="B62" s="29" t="s">
        <v>38</v>
      </c>
      <c r="C62" s="11">
        <f>1103889.01+575504.15</f>
        <v>1679393.1600000001</v>
      </c>
      <c r="F62" s="11"/>
      <c r="G62" s="11"/>
    </row>
    <row r="63" spans="1:7" s="18" customFormat="1" x14ac:dyDescent="0.2">
      <c r="B63" s="29" t="s">
        <v>47</v>
      </c>
      <c r="C63" s="11">
        <v>39349048.969999999</v>
      </c>
      <c r="F63" s="11"/>
      <c r="G63" s="11"/>
    </row>
    <row r="64" spans="1:7" s="18" customFormat="1" x14ac:dyDescent="0.2">
      <c r="B64" s="29" t="s">
        <v>55</v>
      </c>
      <c r="C64" s="11">
        <v>25502.23</v>
      </c>
      <c r="F64" s="11"/>
      <c r="G64" s="11"/>
    </row>
    <row r="65" spans="2:7" s="18" customFormat="1" x14ac:dyDescent="0.2">
      <c r="B65" s="29" t="s">
        <v>52</v>
      </c>
      <c r="C65" s="11">
        <f>6300000+2100000</f>
        <v>8400000</v>
      </c>
      <c r="F65" s="11"/>
      <c r="G65" s="11"/>
    </row>
    <row r="66" spans="2:7" s="18" customFormat="1" ht="16.5" customHeight="1" thickBot="1" x14ac:dyDescent="0.25">
      <c r="B66" s="23" t="s">
        <v>39</v>
      </c>
      <c r="D66" s="24">
        <f>SUM(C55:C65)</f>
        <v>9274411054.1599979</v>
      </c>
      <c r="E66" s="20"/>
      <c r="F66" s="11"/>
      <c r="G66" s="11"/>
    </row>
    <row r="67" spans="2:7" s="18" customFormat="1" ht="13.5" thickTop="1" x14ac:dyDescent="0.2">
      <c r="C67" s="20"/>
      <c r="D67" s="20"/>
      <c r="F67" s="11"/>
      <c r="G67" s="11"/>
    </row>
    <row r="68" spans="2:7" s="18" customFormat="1" x14ac:dyDescent="0.2">
      <c r="C68" s="20"/>
      <c r="D68" s="20"/>
      <c r="F68" s="20"/>
      <c r="G68" s="11"/>
    </row>
    <row r="69" spans="2:7" s="18" customFormat="1" x14ac:dyDescent="0.2">
      <c r="C69" s="20"/>
      <c r="D69" s="20"/>
      <c r="G69" s="11"/>
    </row>
    <row r="70" spans="2:7" s="18" customFormat="1" x14ac:dyDescent="0.2">
      <c r="D70" s="20"/>
      <c r="G70" s="11"/>
    </row>
    <row r="71" spans="2:7" x14ac:dyDescent="0.2">
      <c r="D71" s="1"/>
    </row>
    <row r="72" spans="2:7" x14ac:dyDescent="0.2">
      <c r="D72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7B23-342A-4181-B985-642A4D9B2B24}">
  <sheetPr>
    <tabColor indexed="13"/>
    <pageSetUpPr fitToPage="1"/>
  </sheetPr>
  <dimension ref="A1:G71"/>
  <sheetViews>
    <sheetView showGridLines="0" topLeftCell="A2" zoomScale="110" zoomScaleNormal="110" zoomScaleSheetLayoutView="100" workbookViewId="0">
      <selection activeCell="A3" sqref="A3:D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4" bestFit="1" customWidth="1"/>
  </cols>
  <sheetData>
    <row r="1" spans="1:5" ht="20.25" x14ac:dyDescent="0.3">
      <c r="A1" s="71" t="s">
        <v>1</v>
      </c>
      <c r="B1" s="71"/>
      <c r="C1" s="71"/>
      <c r="D1" s="71"/>
    </row>
    <row r="2" spans="1:5" ht="20.25" x14ac:dyDescent="0.3">
      <c r="A2" s="71" t="s">
        <v>3</v>
      </c>
      <c r="B2" s="71"/>
      <c r="C2" s="71"/>
      <c r="D2" s="71"/>
    </row>
    <row r="3" spans="1:5" ht="26.25" customHeight="1" x14ac:dyDescent="0.3">
      <c r="A3" s="71" t="s">
        <v>4</v>
      </c>
      <c r="B3" s="71"/>
      <c r="C3" s="71"/>
      <c r="D3" s="71"/>
    </row>
    <row r="4" spans="1:5" ht="20.25" x14ac:dyDescent="0.3">
      <c r="A4" s="71" t="s">
        <v>66</v>
      </c>
      <c r="B4" s="71"/>
      <c r="C4" s="71"/>
      <c r="D4" s="71"/>
    </row>
    <row r="5" spans="1:5" ht="15.75" x14ac:dyDescent="0.25">
      <c r="A5" s="3" t="s">
        <v>5</v>
      </c>
    </row>
    <row r="7" spans="1:5" ht="15" x14ac:dyDescent="0.25">
      <c r="B7" s="2" t="s">
        <v>6</v>
      </c>
      <c r="C7" s="4"/>
      <c r="E7" s="4"/>
    </row>
    <row r="8" spans="1:5" ht="14.25" x14ac:dyDescent="0.2">
      <c r="B8" s="5" t="s">
        <v>7</v>
      </c>
      <c r="C8" s="4">
        <v>112294467.06</v>
      </c>
      <c r="D8" s="6" t="s">
        <v>8</v>
      </c>
      <c r="E8" s="4"/>
    </row>
    <row r="9" spans="1:5" ht="14.25" x14ac:dyDescent="0.2">
      <c r="B9" s="5" t="s">
        <v>48</v>
      </c>
      <c r="C9" s="4">
        <v>23619.119999999999</v>
      </c>
      <c r="D9" s="6"/>
      <c r="E9" s="4"/>
    </row>
    <row r="10" spans="1:5" ht="14.25" x14ac:dyDescent="0.2">
      <c r="B10" s="5" t="s">
        <v>49</v>
      </c>
      <c r="C10" s="4">
        <v>1406472.52</v>
      </c>
      <c r="D10" s="6"/>
      <c r="E10" s="4"/>
    </row>
    <row r="11" spans="1:5" x14ac:dyDescent="0.2">
      <c r="B11" t="s">
        <v>9</v>
      </c>
      <c r="C11" s="4">
        <v>54521573.509999998</v>
      </c>
      <c r="E11" s="4"/>
    </row>
    <row r="12" spans="1:5" x14ac:dyDescent="0.2">
      <c r="B12" s="27" t="s">
        <v>46</v>
      </c>
      <c r="C12" s="4">
        <v>9963.2800000000007</v>
      </c>
      <c r="E12" s="4"/>
    </row>
    <row r="13" spans="1:5" x14ac:dyDescent="0.2">
      <c r="B13" t="s">
        <v>10</v>
      </c>
      <c r="C13" s="4">
        <v>3644371.04</v>
      </c>
      <c r="E13" s="4"/>
    </row>
    <row r="14" spans="1:5" x14ac:dyDescent="0.2">
      <c r="B14" t="s">
        <v>50</v>
      </c>
      <c r="C14" s="4">
        <v>38615123.390000001</v>
      </c>
    </row>
    <row r="15" spans="1:5" x14ac:dyDescent="0.2">
      <c r="B15" t="s">
        <v>58</v>
      </c>
      <c r="C15" s="4">
        <v>89938.06</v>
      </c>
    </row>
    <row r="16" spans="1:5" x14ac:dyDescent="0.2">
      <c r="B16" t="s">
        <v>11</v>
      </c>
      <c r="C16" s="4">
        <v>1261534.6299999999</v>
      </c>
    </row>
    <row r="17" spans="2:6" x14ac:dyDescent="0.2">
      <c r="B17" t="s">
        <v>57</v>
      </c>
      <c r="C17" s="4">
        <v>959743.69</v>
      </c>
      <c r="D17" s="7"/>
    </row>
    <row r="18" spans="2:6" x14ac:dyDescent="0.2">
      <c r="B18" t="s">
        <v>12</v>
      </c>
      <c r="C18" s="4">
        <v>106377.14</v>
      </c>
      <c r="D18" s="7"/>
    </row>
    <row r="19" spans="2:6" x14ac:dyDescent="0.2">
      <c r="B19" t="s">
        <v>42</v>
      </c>
      <c r="C19" s="4">
        <v>207715.57</v>
      </c>
      <c r="D19" s="7"/>
      <c r="E19" s="4"/>
    </row>
    <row r="20" spans="2:6" x14ac:dyDescent="0.2">
      <c r="B20" t="s">
        <v>41</v>
      </c>
      <c r="C20" s="4">
        <v>246036.59</v>
      </c>
      <c r="D20" s="7"/>
      <c r="E20" s="4"/>
    </row>
    <row r="21" spans="2:6" x14ac:dyDescent="0.2">
      <c r="C21" s="4"/>
      <c r="D21" s="4">
        <f>SUM(C8:C20)</f>
        <v>213386935.59999999</v>
      </c>
      <c r="E21" s="4"/>
    </row>
    <row r="22" spans="2:6" x14ac:dyDescent="0.2">
      <c r="B22" s="9" t="s">
        <v>13</v>
      </c>
      <c r="C22" s="4"/>
      <c r="E22" s="4"/>
    </row>
    <row r="23" spans="2:6" x14ac:dyDescent="0.2">
      <c r="B23" t="s">
        <v>14</v>
      </c>
      <c r="C23" s="4">
        <v>2112859.2000000002</v>
      </c>
      <c r="D23" s="36"/>
      <c r="E23" s="4"/>
      <c r="F23" s="4"/>
    </row>
    <row r="24" spans="2:6" x14ac:dyDescent="0.2">
      <c r="B24" t="s">
        <v>15</v>
      </c>
      <c r="C24" s="4">
        <v>1788868.09</v>
      </c>
      <c r="D24" s="27"/>
      <c r="E24" s="4"/>
      <c r="F24" s="4"/>
    </row>
    <row r="25" spans="2:6" x14ac:dyDescent="0.2">
      <c r="D25" s="8">
        <f>SUM(C23:C24)</f>
        <v>3901727.29</v>
      </c>
      <c r="E25" s="4"/>
      <c r="F25" s="4"/>
    </row>
    <row r="26" spans="2:6" ht="15" x14ac:dyDescent="0.25">
      <c r="B26" s="2" t="s">
        <v>16</v>
      </c>
      <c r="C26" s="4"/>
      <c r="E26" s="4"/>
      <c r="F26" s="4"/>
    </row>
    <row r="27" spans="2:6" x14ac:dyDescent="0.2">
      <c r="B27" t="s">
        <v>17</v>
      </c>
      <c r="C27" s="30">
        <v>83433040.810000002</v>
      </c>
      <c r="D27" s="1"/>
      <c r="E27" s="4"/>
      <c r="F27" s="4"/>
    </row>
    <row r="28" spans="2:6" x14ac:dyDescent="0.2">
      <c r="B28" t="s">
        <v>18</v>
      </c>
      <c r="C28" s="30">
        <v>836600162.03999996</v>
      </c>
      <c r="D28" s="1"/>
      <c r="E28" s="4"/>
      <c r="F28" s="4"/>
    </row>
    <row r="29" spans="2:6" x14ac:dyDescent="0.2">
      <c r="B29" s="31" t="s">
        <v>19</v>
      </c>
      <c r="C29" s="30">
        <f>281706476.35-6.6-1111.82</f>
        <v>281705357.93000001</v>
      </c>
      <c r="D29" s="1"/>
      <c r="E29" s="4"/>
      <c r="F29" s="4"/>
    </row>
    <row r="30" spans="2:6" x14ac:dyDescent="0.2">
      <c r="B30" s="31" t="s">
        <v>20</v>
      </c>
      <c r="C30" s="30">
        <v>21634409.280000001</v>
      </c>
      <c r="E30" s="4"/>
      <c r="F30" s="4"/>
    </row>
    <row r="31" spans="2:6" x14ac:dyDescent="0.2">
      <c r="B31" s="31" t="s">
        <v>21</v>
      </c>
      <c r="C31" s="30">
        <v>59590924.850000001</v>
      </c>
      <c r="E31" s="4"/>
      <c r="F31" s="4"/>
    </row>
    <row r="32" spans="2:6" x14ac:dyDescent="0.2">
      <c r="B32" s="31"/>
      <c r="D32" s="12">
        <f>SUM(C27:C31)</f>
        <v>1282963894.9099998</v>
      </c>
      <c r="E32" s="4"/>
      <c r="F32" s="4"/>
    </row>
    <row r="33" spans="2:6" ht="35.25" customHeight="1" x14ac:dyDescent="0.25">
      <c r="B33" s="32" t="s">
        <v>22</v>
      </c>
      <c r="C33" s="4"/>
      <c r="E33" s="4"/>
      <c r="F33" s="4"/>
    </row>
    <row r="34" spans="2:6" x14ac:dyDescent="0.2">
      <c r="B34" s="31" t="s">
        <v>23</v>
      </c>
      <c r="C34" s="30">
        <v>0</v>
      </c>
      <c r="D34" t="s">
        <v>2</v>
      </c>
      <c r="E34" s="4"/>
      <c r="F34" s="4"/>
    </row>
    <row r="35" spans="2:6" x14ac:dyDescent="0.2">
      <c r="B35" s="31" t="s">
        <v>24</v>
      </c>
      <c r="C35" s="30">
        <v>1111.82</v>
      </c>
      <c r="E35" s="4"/>
      <c r="F35" s="4"/>
    </row>
    <row r="36" spans="2:6" x14ac:dyDescent="0.2">
      <c r="B36" s="31" t="s">
        <v>25</v>
      </c>
      <c r="C36" s="30">
        <f>11323436.03+517613.36</f>
        <v>11841049.389999999</v>
      </c>
      <c r="E36" s="4"/>
      <c r="F36" s="4"/>
    </row>
    <row r="37" spans="2:6" x14ac:dyDescent="0.2">
      <c r="B37" s="31" t="s">
        <v>45</v>
      </c>
      <c r="C37" s="30">
        <v>891765.38</v>
      </c>
      <c r="E37" s="4"/>
      <c r="F37" s="4"/>
    </row>
    <row r="38" spans="2:6" x14ac:dyDescent="0.2">
      <c r="B38" s="31" t="s">
        <v>54</v>
      </c>
      <c r="C38" s="30">
        <v>16000</v>
      </c>
      <c r="E38" s="4"/>
      <c r="F38" s="4"/>
    </row>
    <row r="39" spans="2:6" x14ac:dyDescent="0.2">
      <c r="B39" s="31" t="s">
        <v>26</v>
      </c>
      <c r="C39" s="30">
        <v>6.6</v>
      </c>
      <c r="E39" s="4"/>
      <c r="F39" s="4"/>
    </row>
    <row r="40" spans="2:6" x14ac:dyDescent="0.2">
      <c r="C40" s="11"/>
      <c r="D40" s="12">
        <f>SUM(C34:C39)</f>
        <v>12749933.189999999</v>
      </c>
      <c r="E40" s="4"/>
      <c r="F40" s="4"/>
    </row>
    <row r="41" spans="2:6" ht="15" x14ac:dyDescent="0.25">
      <c r="B41" s="2" t="s">
        <v>27</v>
      </c>
      <c r="C41" s="4"/>
      <c r="E41" s="4"/>
      <c r="F41" s="4"/>
    </row>
    <row r="42" spans="2:6" x14ac:dyDescent="0.2">
      <c r="B42" t="s">
        <v>28</v>
      </c>
      <c r="C42" s="30">
        <f>5145583048.49+500000000+816075426.2+20000000+45481854.23</f>
        <v>6527140328.9199991</v>
      </c>
      <c r="D42" s="1"/>
      <c r="E42" s="4"/>
      <c r="F42" s="4"/>
    </row>
    <row r="43" spans="2:6" x14ac:dyDescent="0.2">
      <c r="B43" s="33" t="s">
        <v>51</v>
      </c>
      <c r="C43" s="34">
        <v>0</v>
      </c>
      <c r="D43" s="1"/>
      <c r="E43" s="4"/>
      <c r="F43" s="4"/>
    </row>
    <row r="44" spans="2:6" x14ac:dyDescent="0.2">
      <c r="B44" t="s">
        <v>43</v>
      </c>
      <c r="C44" s="30">
        <v>0</v>
      </c>
      <c r="D44" s="1"/>
      <c r="E44" s="4"/>
      <c r="F44" s="4"/>
    </row>
    <row r="45" spans="2:6" x14ac:dyDescent="0.2">
      <c r="B45" t="s">
        <v>24</v>
      </c>
      <c r="C45" s="30">
        <v>168705767.81999999</v>
      </c>
      <c r="E45" s="4"/>
      <c r="F45" s="4"/>
    </row>
    <row r="46" spans="2:6" x14ac:dyDescent="0.2">
      <c r="B46" t="s">
        <v>0</v>
      </c>
      <c r="C46" s="30">
        <v>1007533002.5599999</v>
      </c>
      <c r="D46" s="13"/>
      <c r="E46" s="4"/>
      <c r="F46" s="4"/>
    </row>
    <row r="47" spans="2:6" x14ac:dyDescent="0.2">
      <c r="B47" s="27" t="s">
        <v>44</v>
      </c>
      <c r="C47" s="30">
        <v>47509527.979999997</v>
      </c>
      <c r="D47" s="13"/>
      <c r="F47" s="4"/>
    </row>
    <row r="48" spans="2:6" x14ac:dyDescent="0.2">
      <c r="C48" s="1"/>
      <c r="D48" s="14">
        <f>SUM(C42:C47)</f>
        <v>7750888627.2799988</v>
      </c>
      <c r="E48" s="4"/>
      <c r="F48" s="4"/>
    </row>
    <row r="49" spans="1:7" x14ac:dyDescent="0.2">
      <c r="C49" s="4"/>
      <c r="D49" s="15"/>
      <c r="F49" s="4"/>
    </row>
    <row r="50" spans="1:7" ht="15.75" thickBot="1" x14ac:dyDescent="0.3">
      <c r="B50" s="16" t="s">
        <v>29</v>
      </c>
      <c r="D50" s="17">
        <f>SUM(D17:D48)</f>
        <v>9263891118.2699986</v>
      </c>
      <c r="E50" s="4"/>
      <c r="F50" s="4"/>
    </row>
    <row r="51" spans="1:7" ht="16.5" thickTop="1" x14ac:dyDescent="0.25">
      <c r="A51" s="3" t="s">
        <v>30</v>
      </c>
      <c r="C51" s="1"/>
      <c r="D51" s="20"/>
      <c r="E51" s="1"/>
      <c r="F51" s="4"/>
    </row>
    <row r="52" spans="1:7" s="18" customFormat="1" x14ac:dyDescent="0.2">
      <c r="D52" s="20"/>
      <c r="E52" s="11"/>
      <c r="F52" s="11"/>
      <c r="G52" s="11"/>
    </row>
    <row r="53" spans="1:7" s="18" customFormat="1" x14ac:dyDescent="0.2">
      <c r="B53" s="21" t="s">
        <v>31</v>
      </c>
      <c r="C53" s="11"/>
      <c r="F53" s="11"/>
      <c r="G53" s="11"/>
    </row>
    <row r="54" spans="1:7" s="18" customFormat="1" x14ac:dyDescent="0.2">
      <c r="B54" s="18" t="s">
        <v>40</v>
      </c>
      <c r="C54" s="11">
        <v>982700996.57000005</v>
      </c>
      <c r="F54" s="11"/>
      <c r="G54" s="11"/>
    </row>
    <row r="55" spans="1:7" s="18" customFormat="1" x14ac:dyDescent="0.2">
      <c r="B55" s="18" t="s">
        <v>32</v>
      </c>
      <c r="C55" s="11">
        <v>6891502.29</v>
      </c>
      <c r="D55" s="20"/>
      <c r="F55" s="11"/>
      <c r="G55" s="11"/>
    </row>
    <row r="56" spans="1:7" s="18" customFormat="1" x14ac:dyDescent="0.2">
      <c r="B56" s="29" t="s">
        <v>33</v>
      </c>
      <c r="C56" s="11">
        <v>948780.28</v>
      </c>
      <c r="D56" s="25"/>
      <c r="E56" s="20"/>
      <c r="F56" s="11"/>
      <c r="G56" s="11"/>
    </row>
    <row r="57" spans="1:7" s="18" customFormat="1" x14ac:dyDescent="0.2">
      <c r="B57" s="29" t="s">
        <v>34</v>
      </c>
      <c r="C57" s="11">
        <v>7176392293.9499998</v>
      </c>
      <c r="D57" s="11"/>
      <c r="F57" s="11"/>
      <c r="G57" s="11"/>
    </row>
    <row r="58" spans="1:7" s="18" customFormat="1" x14ac:dyDescent="0.2">
      <c r="B58" s="29" t="s">
        <v>35</v>
      </c>
      <c r="C58" s="11">
        <v>1007773622.6900001</v>
      </c>
      <c r="D58" s="11"/>
      <c r="E58" s="20"/>
      <c r="F58" s="26"/>
      <c r="G58" s="11"/>
    </row>
    <row r="59" spans="1:7" s="18" customFormat="1" x14ac:dyDescent="0.2">
      <c r="B59" s="29" t="s">
        <v>36</v>
      </c>
      <c r="C59" s="11">
        <v>32117464.82</v>
      </c>
      <c r="F59" s="11"/>
      <c r="G59" s="11"/>
    </row>
    <row r="60" spans="1:7" s="18" customFormat="1" x14ac:dyDescent="0.2">
      <c r="B60" s="29" t="s">
        <v>37</v>
      </c>
      <c r="C60" s="11">
        <v>7330011.8200000003</v>
      </c>
      <c r="D60" s="20"/>
      <c r="E60" s="20"/>
      <c r="F60" s="11"/>
      <c r="G60" s="11"/>
    </row>
    <row r="61" spans="1:7" s="18" customFormat="1" x14ac:dyDescent="0.2">
      <c r="B61" s="29" t="s">
        <v>38</v>
      </c>
      <c r="C61" s="11">
        <f>878728.91+440423.58</f>
        <v>1319152.49</v>
      </c>
      <c r="F61" s="11"/>
      <c r="G61" s="11"/>
    </row>
    <row r="62" spans="1:7" s="18" customFormat="1" x14ac:dyDescent="0.2">
      <c r="B62" s="29" t="s">
        <v>47</v>
      </c>
      <c r="C62" s="11">
        <v>39401293.359999999</v>
      </c>
      <c r="F62" s="11"/>
      <c r="G62" s="11"/>
    </row>
    <row r="63" spans="1:7" s="18" customFormat="1" x14ac:dyDescent="0.2">
      <c r="B63" s="29" t="s">
        <v>55</v>
      </c>
      <c r="C63" s="11">
        <v>16000</v>
      </c>
      <c r="F63" s="11"/>
      <c r="G63" s="11"/>
    </row>
    <row r="64" spans="1:7" s="18" customFormat="1" x14ac:dyDescent="0.2">
      <c r="B64" s="29" t="s">
        <v>52</v>
      </c>
      <c r="C64" s="11">
        <f>6750000+2250000</f>
        <v>9000000</v>
      </c>
      <c r="F64" s="11"/>
      <c r="G64" s="11"/>
    </row>
    <row r="65" spans="2:7" s="18" customFormat="1" ht="16.5" customHeight="1" thickBot="1" x14ac:dyDescent="0.25">
      <c r="B65" s="23" t="s">
        <v>39</v>
      </c>
      <c r="D65" s="24">
        <f>SUM(C54:C64)</f>
        <v>9263891118.2700005</v>
      </c>
      <c r="E65" s="20"/>
      <c r="F65" s="11"/>
      <c r="G65" s="11"/>
    </row>
    <row r="66" spans="2:7" s="18" customFormat="1" ht="13.5" thickTop="1" x14ac:dyDescent="0.2">
      <c r="C66" s="20"/>
      <c r="D66" s="20"/>
      <c r="F66" s="11"/>
      <c r="G66" s="11"/>
    </row>
    <row r="67" spans="2:7" s="18" customFormat="1" x14ac:dyDescent="0.2">
      <c r="C67" s="20"/>
      <c r="D67" s="20"/>
      <c r="F67" s="20"/>
      <c r="G67" s="11"/>
    </row>
    <row r="68" spans="2:7" s="18" customFormat="1" x14ac:dyDescent="0.2">
      <c r="C68" s="20"/>
      <c r="D68" s="20"/>
      <c r="G68" s="11"/>
    </row>
    <row r="69" spans="2:7" s="18" customFormat="1" x14ac:dyDescent="0.2">
      <c r="D69" s="20"/>
      <c r="G69" s="11"/>
    </row>
    <row r="70" spans="2:7" x14ac:dyDescent="0.2">
      <c r="D70" s="1"/>
    </row>
    <row r="71" spans="2:7" x14ac:dyDescent="0.2">
      <c r="C71" s="69"/>
      <c r="D71" s="1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Abril!Print_Area</vt:lpstr>
      <vt:lpstr>Agosto!Print_Area</vt:lpstr>
      <vt:lpstr>Diciembre!Print_Area</vt:lpstr>
      <vt:lpstr>Enero!Print_Area</vt:lpstr>
      <vt:lpstr>Febrero!Print_Area</vt:lpstr>
      <vt:lpstr>Julio!Print_Area</vt:lpstr>
      <vt:lpstr>Junio!Print_Area</vt:lpstr>
      <vt:lpstr>Marzo!Print_Area</vt:lpstr>
      <vt:lpstr>Mayo!Print_Area</vt:lpstr>
      <vt:lpstr>Noviembre!Print_Area</vt:lpstr>
      <vt:lpstr>Octubre!Print_Area</vt:lpstr>
      <vt:lpstr>Septiembre!Print_Area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Juliana_Burgos</dc:creator>
  <cp:lastModifiedBy>Jay Nadal</cp:lastModifiedBy>
  <cp:lastPrinted>2015-01-20T14:59:59Z</cp:lastPrinted>
  <dcterms:created xsi:type="dcterms:W3CDTF">2010-08-25T14:02:18Z</dcterms:created>
  <dcterms:modified xsi:type="dcterms:W3CDTF">2017-11-10T14:35:21Z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